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garya\Dropbox (Gates Foundation)\Genetic gains modeller\"/>
    </mc:Choice>
  </mc:AlternateContent>
  <xr:revisionPtr revIDLastSave="0" documentId="8_{F3678674-FAFE-441F-BF4C-893BD7AD6590}" xr6:coauthVersionLast="47" xr6:coauthVersionMax="47" xr10:uidLastSave="{00000000-0000-0000-0000-000000000000}"/>
  <bookViews>
    <workbookView xWindow="-108" yWindow="-108" windowWidth="23256" windowHeight="12576" activeTab="1" xr2:uid="{00000000-000D-0000-FFFF-FFFF00000000}"/>
  </bookViews>
  <sheets>
    <sheet name="3-stage model" sheetId="6" r:id="rId1"/>
    <sheet name="Instructions" sheetId="4" r:id="rId2"/>
    <sheet name="Pipeline planner"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J3" i="6" l="1"/>
  <c r="CJ4" i="6"/>
  <c r="CJ5" i="6"/>
  <c r="CJ6" i="6"/>
  <c r="CJ7" i="6"/>
  <c r="CJ8" i="6"/>
  <c r="CJ9" i="6"/>
  <c r="CJ10" i="6"/>
  <c r="CJ11" i="6"/>
  <c r="CJ12" i="6"/>
  <c r="CJ13" i="6"/>
  <c r="CJ14" i="6"/>
  <c r="CJ15" i="6"/>
  <c r="CJ16" i="6"/>
  <c r="CJ17" i="6"/>
  <c r="CJ2" i="6"/>
  <c r="CF3" i="6"/>
  <c r="CF4" i="6"/>
  <c r="CG4" i="6" s="1"/>
  <c r="CF5" i="6"/>
  <c r="CG5" i="6" s="1"/>
  <c r="CF6" i="6"/>
  <c r="CG6" i="6" s="1"/>
  <c r="CF7" i="6"/>
  <c r="CF8" i="6"/>
  <c r="CF9" i="6"/>
  <c r="CG9" i="6" s="1"/>
  <c r="CF10" i="6"/>
  <c r="CG10" i="6" s="1"/>
  <c r="CF11" i="6"/>
  <c r="CF12" i="6"/>
  <c r="CG12" i="6" s="1"/>
  <c r="CF13" i="6"/>
  <c r="CG13" i="6" s="1"/>
  <c r="CF14" i="6"/>
  <c r="CG14" i="6" s="1"/>
  <c r="CF15" i="6"/>
  <c r="CF16" i="6"/>
  <c r="CF17" i="6"/>
  <c r="CG17" i="6" s="1"/>
  <c r="BZ2" i="6"/>
  <c r="CF2" i="6"/>
  <c r="CG2" i="6" s="1"/>
  <c r="CG16" i="6"/>
  <c r="CG15" i="6"/>
  <c r="CG11" i="6"/>
  <c r="CG8" i="6"/>
  <c r="CG7" i="6"/>
  <c r="CG3" i="6"/>
  <c r="BZ3" i="6"/>
  <c r="CA3" i="6" s="1"/>
  <c r="BZ4" i="6"/>
  <c r="CA4" i="6" s="1"/>
  <c r="BZ5" i="6"/>
  <c r="BZ6" i="6"/>
  <c r="CA6" i="6" s="1"/>
  <c r="BZ7" i="6"/>
  <c r="CA7" i="6" s="1"/>
  <c r="BZ8" i="6"/>
  <c r="BZ9" i="6"/>
  <c r="BZ10" i="6"/>
  <c r="CA10" i="6" s="1"/>
  <c r="BZ11" i="6"/>
  <c r="CA11" i="6" s="1"/>
  <c r="BZ12" i="6"/>
  <c r="CA12" i="6" s="1"/>
  <c r="BZ13" i="6"/>
  <c r="BZ14" i="6"/>
  <c r="CA14" i="6" s="1"/>
  <c r="BZ15" i="6"/>
  <c r="CA15" i="6" s="1"/>
  <c r="BZ16" i="6"/>
  <c r="BZ17" i="6"/>
  <c r="CA17" i="6" s="1"/>
  <c r="CA2" i="6"/>
  <c r="BY2" i="6"/>
  <c r="CA16" i="6"/>
  <c r="CA13" i="6"/>
  <c r="CA9" i="6"/>
  <c r="CA8" i="6"/>
  <c r="CA5" i="6"/>
  <c r="BT3" i="6"/>
  <c r="BU3" i="6" s="1"/>
  <c r="BT4" i="6"/>
  <c r="BU4" i="6"/>
  <c r="BT5" i="6"/>
  <c r="BU5" i="6" s="1"/>
  <c r="BT6" i="6"/>
  <c r="BU6" i="6" s="1"/>
  <c r="BT7" i="6"/>
  <c r="BU7" i="6" s="1"/>
  <c r="BT8" i="6"/>
  <c r="BU8" i="6" s="1"/>
  <c r="BT9" i="6"/>
  <c r="BU9" i="6" s="1"/>
  <c r="BT10" i="6"/>
  <c r="BU10" i="6" s="1"/>
  <c r="BT11" i="6"/>
  <c r="BU11" i="6" s="1"/>
  <c r="BT12" i="6"/>
  <c r="BU12" i="6" s="1"/>
  <c r="BT13" i="6"/>
  <c r="BU13" i="6" s="1"/>
  <c r="BT14" i="6"/>
  <c r="BU14" i="6" s="1"/>
  <c r="BT15" i="6"/>
  <c r="BU15" i="6" s="1"/>
  <c r="BT16" i="6"/>
  <c r="BU16" i="6" s="1"/>
  <c r="BT17" i="6"/>
  <c r="BU17" i="6" s="1"/>
  <c r="BT2" i="6"/>
  <c r="BU2" i="6" s="1"/>
  <c r="L2" i="6" l="1"/>
  <c r="CS17" i="6"/>
  <c r="CR17" i="6"/>
  <c r="CP17" i="6"/>
  <c r="CQ17" i="6" s="1"/>
  <c r="CO17" i="6"/>
  <c r="CD17" i="6"/>
  <c r="CE17" i="6" s="1"/>
  <c r="BY17" i="6"/>
  <c r="BX17" i="6"/>
  <c r="BS17" i="6"/>
  <c r="BP17" i="6"/>
  <c r="CY17" i="6" s="1"/>
  <c r="CZ17" i="6" s="1"/>
  <c r="BO17" i="6"/>
  <c r="BN17" i="6"/>
  <c r="CM17" i="6" s="1"/>
  <c r="BM17" i="6"/>
  <c r="BL17" i="6"/>
  <c r="BJ17" i="6"/>
  <c r="BK17" i="6" s="1"/>
  <c r="BI17" i="6"/>
  <c r="AB17" i="6"/>
  <c r="AC17" i="6" s="1"/>
  <c r="V17" i="6"/>
  <c r="W17" i="6" s="1"/>
  <c r="L17" i="6"/>
  <c r="CU17" i="6" l="1"/>
  <c r="CV17" i="6" s="1"/>
  <c r="CB17" i="6"/>
  <c r="CC17" i="6" s="1"/>
  <c r="BQ17" i="6"/>
  <c r="BR17" i="6" s="1"/>
  <c r="CH17" i="6" s="1"/>
  <c r="BV17" i="6"/>
  <c r="BW17" i="6" s="1"/>
  <c r="CI17" i="6" s="1"/>
  <c r="CT17" i="6"/>
  <c r="DA17" i="6"/>
  <c r="DB17" i="6" s="1"/>
  <c r="CK17" i="6"/>
  <c r="CW17" i="6"/>
  <c r="CX17" i="6" s="1"/>
  <c r="CL17" i="6"/>
  <c r="L3" i="6"/>
  <c r="L4" i="6"/>
  <c r="L5" i="6"/>
  <c r="L6" i="6"/>
  <c r="L7" i="6"/>
  <c r="L8" i="6"/>
  <c r="L9" i="6"/>
  <c r="L10" i="6"/>
  <c r="L11" i="6"/>
  <c r="L12" i="6"/>
  <c r="L13" i="6"/>
  <c r="L14" i="6"/>
  <c r="L15" i="6"/>
  <c r="L16" i="6"/>
  <c r="CN17" i="6" l="1"/>
  <c r="DC17" i="6" s="1"/>
  <c r="DD17" i="6" s="1"/>
  <c r="DE17" i="6" s="1"/>
  <c r="DF17" i="6" s="1"/>
  <c r="DG17" i="6"/>
  <c r="DH17" i="6" s="1"/>
  <c r="AB16" i="6"/>
  <c r="AC16" i="6" s="1"/>
  <c r="AB15" i="6"/>
  <c r="AC15" i="6" s="1"/>
  <c r="AB14" i="6"/>
  <c r="AC14" i="6" s="1"/>
  <c r="AB13" i="6"/>
  <c r="AC13" i="6" s="1"/>
  <c r="AB12" i="6"/>
  <c r="AC12" i="6" s="1"/>
  <c r="AB11" i="6"/>
  <c r="AC11" i="6" s="1"/>
  <c r="AB10" i="6"/>
  <c r="AC10" i="6" s="1"/>
  <c r="AB9" i="6"/>
  <c r="AC9" i="6" s="1"/>
  <c r="AB8" i="6"/>
  <c r="AC8" i="6" s="1"/>
  <c r="AB7" i="6"/>
  <c r="AC7" i="6" s="1"/>
  <c r="AB6" i="6"/>
  <c r="AC6" i="6" s="1"/>
  <c r="AB5" i="6"/>
  <c r="AC5" i="6" s="1"/>
  <c r="AB4" i="6"/>
  <c r="AC4" i="6" s="1"/>
  <c r="AB3" i="6"/>
  <c r="AC3" i="6" s="1"/>
  <c r="AB2" i="6"/>
  <c r="AC2" i="6" s="1"/>
  <c r="V16" i="6"/>
  <c r="W16" i="6" s="1"/>
  <c r="V15" i="6"/>
  <c r="W15" i="6" s="1"/>
  <c r="V14" i="6"/>
  <c r="W14" i="6" s="1"/>
  <c r="V13" i="6"/>
  <c r="W13" i="6" s="1"/>
  <c r="V12" i="6"/>
  <c r="W12" i="6" s="1"/>
  <c r="V11" i="6"/>
  <c r="W11" i="6" s="1"/>
  <c r="V10" i="6"/>
  <c r="W10" i="6" s="1"/>
  <c r="V9" i="6"/>
  <c r="W9" i="6" s="1"/>
  <c r="V8" i="6"/>
  <c r="W8" i="6" s="1"/>
  <c r="V7" i="6"/>
  <c r="W7" i="6" s="1"/>
  <c r="V6" i="6"/>
  <c r="W6" i="6" s="1"/>
  <c r="V5" i="6"/>
  <c r="W5" i="6" s="1"/>
  <c r="V4" i="6"/>
  <c r="W4" i="6" s="1"/>
  <c r="V3" i="6"/>
  <c r="W3" i="6" s="1"/>
  <c r="V2" i="6"/>
  <c r="W2" i="6" s="1"/>
  <c r="DI17" i="6" l="1"/>
  <c r="BM5" i="6"/>
  <c r="BM6" i="6"/>
  <c r="BM7" i="6"/>
  <c r="BM8" i="6"/>
  <c r="BM9" i="6"/>
  <c r="BM10" i="6"/>
  <c r="BM11" i="6"/>
  <c r="BM12" i="6"/>
  <c r="BM13" i="6"/>
  <c r="BM14" i="6"/>
  <c r="BM15" i="6"/>
  <c r="BM16" i="6"/>
  <c r="BM2" i="6"/>
  <c r="BM3" i="6"/>
  <c r="BM4" i="6"/>
  <c r="BS16" i="6" l="1"/>
  <c r="BX16" i="6"/>
  <c r="BY16" i="6"/>
  <c r="CD16" i="6"/>
  <c r="CE16" i="6" s="1"/>
  <c r="CO16" i="6"/>
  <c r="CP16" i="6"/>
  <c r="CQ16" i="6" s="1"/>
  <c r="CR16" i="6"/>
  <c r="CS16" i="6"/>
  <c r="BN16" i="6"/>
  <c r="CK16" i="6" s="1"/>
  <c r="BI16" i="6"/>
  <c r="BJ16" i="6"/>
  <c r="BK16" i="6" s="1"/>
  <c r="BO16" i="6"/>
  <c r="BP16" i="6"/>
  <c r="CY16" i="6" s="1"/>
  <c r="CZ16" i="6" s="1"/>
  <c r="BL16" i="6"/>
  <c r="BS8" i="6"/>
  <c r="BX8" i="6"/>
  <c r="BY8" i="6"/>
  <c r="CD8" i="6"/>
  <c r="CE8" i="6" s="1"/>
  <c r="CO8" i="6"/>
  <c r="CP8" i="6"/>
  <c r="CQ8" i="6" s="1"/>
  <c r="CR8" i="6"/>
  <c r="CS8" i="6"/>
  <c r="BN8" i="6"/>
  <c r="CM8" i="6" s="1"/>
  <c r="BI8" i="6"/>
  <c r="BJ8" i="6"/>
  <c r="BK8" i="6" s="1"/>
  <c r="BO8" i="6"/>
  <c r="BP8" i="6"/>
  <c r="DA8" i="6" s="1"/>
  <c r="BL8" i="6"/>
  <c r="BS12" i="6"/>
  <c r="BX12" i="6"/>
  <c r="BY12" i="6"/>
  <c r="CD12" i="6"/>
  <c r="CE12" i="6" s="1"/>
  <c r="CO12" i="6"/>
  <c r="CP12" i="6"/>
  <c r="CQ12" i="6" s="1"/>
  <c r="CR12" i="6"/>
  <c r="CS12" i="6"/>
  <c r="BN12" i="6"/>
  <c r="CL12" i="6" s="1"/>
  <c r="BI12" i="6"/>
  <c r="BJ12" i="6"/>
  <c r="BK12" i="6" s="1"/>
  <c r="BO12" i="6"/>
  <c r="BP12" i="6"/>
  <c r="CY12" i="6" s="1"/>
  <c r="CZ12" i="6" s="1"/>
  <c r="BL12" i="6"/>
  <c r="BS4" i="6"/>
  <c r="BX4" i="6"/>
  <c r="BY4" i="6"/>
  <c r="CD4" i="6"/>
  <c r="CE4" i="6" s="1"/>
  <c r="CO4" i="6"/>
  <c r="CP4" i="6"/>
  <c r="CQ4" i="6" s="1"/>
  <c r="CR4" i="6"/>
  <c r="CS4" i="6"/>
  <c r="BN4" i="6"/>
  <c r="CM4" i="6" s="1"/>
  <c r="BI4" i="6"/>
  <c r="BJ4" i="6"/>
  <c r="BK4" i="6" s="1"/>
  <c r="BO4" i="6"/>
  <c r="BP4" i="6"/>
  <c r="CY4" i="6" s="1"/>
  <c r="CZ4" i="6" s="1"/>
  <c r="BL4" i="6"/>
  <c r="CS15" i="6"/>
  <c r="CR15" i="6"/>
  <c r="CP15" i="6"/>
  <c r="CQ15" i="6" s="1"/>
  <c r="CO15" i="6"/>
  <c r="CD15" i="6"/>
  <c r="CE15" i="6" s="1"/>
  <c r="BY15" i="6"/>
  <c r="BX15" i="6"/>
  <c r="BS15" i="6"/>
  <c r="BP15" i="6"/>
  <c r="DA15" i="6" s="1"/>
  <c r="BO15" i="6"/>
  <c r="BN15" i="6"/>
  <c r="CL15" i="6" s="1"/>
  <c r="BL15" i="6"/>
  <c r="BJ15" i="6"/>
  <c r="BK15" i="6" s="1"/>
  <c r="BI15" i="6"/>
  <c r="CS14" i="6"/>
  <c r="CR14" i="6"/>
  <c r="CP14" i="6"/>
  <c r="CQ14" i="6" s="1"/>
  <c r="CO14" i="6"/>
  <c r="CD14" i="6"/>
  <c r="CE14" i="6" s="1"/>
  <c r="BY14" i="6"/>
  <c r="BX14" i="6"/>
  <c r="BS14" i="6"/>
  <c r="BP14" i="6"/>
  <c r="DA14" i="6" s="1"/>
  <c r="BO14" i="6"/>
  <c r="CI14" i="6" s="1"/>
  <c r="BN14" i="6"/>
  <c r="CL14" i="6" s="1"/>
  <c r="BL14" i="6"/>
  <c r="BV14" i="6" s="1"/>
  <c r="BW14" i="6" s="1"/>
  <c r="BJ14" i="6"/>
  <c r="BK14" i="6" s="1"/>
  <c r="BI14" i="6"/>
  <c r="CS9" i="6"/>
  <c r="CR9" i="6"/>
  <c r="CP9" i="6"/>
  <c r="CQ9" i="6" s="1"/>
  <c r="CO9" i="6"/>
  <c r="CD9" i="6"/>
  <c r="CE9" i="6" s="1"/>
  <c r="BY9" i="6"/>
  <c r="BX9" i="6"/>
  <c r="BS9" i="6"/>
  <c r="BP9" i="6"/>
  <c r="CY9" i="6" s="1"/>
  <c r="CZ9" i="6" s="1"/>
  <c r="BO9" i="6"/>
  <c r="BN9" i="6"/>
  <c r="BL9" i="6"/>
  <c r="BJ9" i="6"/>
  <c r="BK9" i="6" s="1"/>
  <c r="BI9" i="6"/>
  <c r="CS7" i="6"/>
  <c r="CR7" i="6"/>
  <c r="CP7" i="6"/>
  <c r="CQ7" i="6" s="1"/>
  <c r="CO7" i="6"/>
  <c r="CD7" i="6"/>
  <c r="CE7" i="6" s="1"/>
  <c r="BY7" i="6"/>
  <c r="BX7" i="6"/>
  <c r="BS7" i="6"/>
  <c r="BP7" i="6"/>
  <c r="CY7" i="6" s="1"/>
  <c r="CZ7" i="6" s="1"/>
  <c r="BO7" i="6"/>
  <c r="BN7" i="6"/>
  <c r="CK7" i="6" s="1"/>
  <c r="BL7" i="6"/>
  <c r="BJ7" i="6"/>
  <c r="BK7" i="6" s="1"/>
  <c r="BI7" i="6"/>
  <c r="CS6" i="6"/>
  <c r="CR6" i="6"/>
  <c r="CP6" i="6"/>
  <c r="CQ6" i="6" s="1"/>
  <c r="CO6" i="6"/>
  <c r="CD6" i="6"/>
  <c r="CE6" i="6" s="1"/>
  <c r="BY6" i="6"/>
  <c r="BX6" i="6"/>
  <c r="BS6" i="6"/>
  <c r="BP6" i="6"/>
  <c r="CY6" i="6" s="1"/>
  <c r="CZ6" i="6" s="1"/>
  <c r="BO6" i="6"/>
  <c r="BN6" i="6"/>
  <c r="CK6" i="6" s="1"/>
  <c r="BL6" i="6"/>
  <c r="BJ6" i="6"/>
  <c r="BK6" i="6" s="1"/>
  <c r="BI6" i="6"/>
  <c r="CS13" i="6"/>
  <c r="CR13" i="6"/>
  <c r="CP13" i="6"/>
  <c r="CQ13" i="6" s="1"/>
  <c r="CO13" i="6"/>
  <c r="CD13" i="6"/>
  <c r="CE13" i="6" s="1"/>
  <c r="BY13" i="6"/>
  <c r="BX13" i="6"/>
  <c r="BS13" i="6"/>
  <c r="BP13" i="6"/>
  <c r="DA13" i="6" s="1"/>
  <c r="BO13" i="6"/>
  <c r="BN13" i="6"/>
  <c r="CK13" i="6" s="1"/>
  <c r="BL13" i="6"/>
  <c r="BV13" i="6" s="1"/>
  <c r="BJ13" i="6"/>
  <c r="BK13" i="6" s="1"/>
  <c r="BI13" i="6"/>
  <c r="CS11" i="6"/>
  <c r="CR11" i="6"/>
  <c r="CP11" i="6"/>
  <c r="CQ11" i="6" s="1"/>
  <c r="CO11" i="6"/>
  <c r="CD11" i="6"/>
  <c r="CE11" i="6" s="1"/>
  <c r="BY11" i="6"/>
  <c r="BX11" i="6"/>
  <c r="BS11" i="6"/>
  <c r="BP11" i="6"/>
  <c r="CY11" i="6" s="1"/>
  <c r="CZ11" i="6" s="1"/>
  <c r="BO11" i="6"/>
  <c r="BN11" i="6"/>
  <c r="CK11" i="6" s="1"/>
  <c r="BL11" i="6"/>
  <c r="BJ11" i="6"/>
  <c r="BK11" i="6" s="1"/>
  <c r="BI11" i="6"/>
  <c r="CS10" i="6"/>
  <c r="CR10" i="6"/>
  <c r="CP10" i="6"/>
  <c r="CQ10" i="6" s="1"/>
  <c r="CO10" i="6"/>
  <c r="CD10" i="6"/>
  <c r="CE10" i="6" s="1"/>
  <c r="BY10" i="6"/>
  <c r="BX10" i="6"/>
  <c r="BS10" i="6"/>
  <c r="BP10" i="6"/>
  <c r="CY10" i="6" s="1"/>
  <c r="CZ10" i="6" s="1"/>
  <c r="BO10" i="6"/>
  <c r="BN10" i="6"/>
  <c r="BL10" i="6"/>
  <c r="BJ10" i="6"/>
  <c r="BK10" i="6" s="1"/>
  <c r="BI10" i="6"/>
  <c r="CS5" i="6"/>
  <c r="CR5" i="6"/>
  <c r="CP5" i="6"/>
  <c r="CQ5" i="6" s="1"/>
  <c r="CO5" i="6"/>
  <c r="CD5" i="6"/>
  <c r="CE5" i="6" s="1"/>
  <c r="BY5" i="6"/>
  <c r="BX5" i="6"/>
  <c r="BS5" i="6"/>
  <c r="BP5" i="6"/>
  <c r="BO5" i="6"/>
  <c r="BN5" i="6"/>
  <c r="CK5" i="6" s="1"/>
  <c r="BL5" i="6"/>
  <c r="BJ5" i="6"/>
  <c r="BK5" i="6" s="1"/>
  <c r="BI5" i="6"/>
  <c r="CS3" i="6"/>
  <c r="CR3" i="6"/>
  <c r="CP3" i="6"/>
  <c r="CQ3" i="6" s="1"/>
  <c r="CO3" i="6"/>
  <c r="CD3" i="6"/>
  <c r="CE3" i="6" s="1"/>
  <c r="BY3" i="6"/>
  <c r="BX3" i="6"/>
  <c r="BS3" i="6"/>
  <c r="BP3" i="6"/>
  <c r="DA3" i="6" s="1"/>
  <c r="BO3" i="6"/>
  <c r="BN3" i="6"/>
  <c r="CM3" i="6" s="1"/>
  <c r="BL3" i="6"/>
  <c r="BJ3" i="6"/>
  <c r="BK3" i="6" s="1"/>
  <c r="BI3" i="6"/>
  <c r="CS2" i="6"/>
  <c r="CR2" i="6"/>
  <c r="CP2" i="6"/>
  <c r="CO2" i="6"/>
  <c r="CD2" i="6"/>
  <c r="CE2" i="6" s="1"/>
  <c r="BX2" i="6"/>
  <c r="BS2" i="6"/>
  <c r="BP2" i="6"/>
  <c r="BO2" i="6"/>
  <c r="BN2" i="6"/>
  <c r="CK2" i="6" s="1"/>
  <c r="BL2" i="6"/>
  <c r="BJ2" i="6"/>
  <c r="BK2" i="6" s="1"/>
  <c r="BI2" i="6"/>
  <c r="CW13" i="6" l="1"/>
  <c r="CU12" i="6"/>
  <c r="CI12" i="6"/>
  <c r="CL11" i="6"/>
  <c r="CW5" i="6"/>
  <c r="CU11" i="6"/>
  <c r="CV11" i="6" s="1"/>
  <c r="CU6" i="6"/>
  <c r="CV6" i="6" s="1"/>
  <c r="CW9" i="6"/>
  <c r="CU15" i="6"/>
  <c r="CU4" i="6"/>
  <c r="CV4" i="6" s="1"/>
  <c r="CU8" i="6"/>
  <c r="CV8" i="6" s="1"/>
  <c r="CU3" i="6"/>
  <c r="CV3" i="6" s="1"/>
  <c r="CW10" i="6"/>
  <c r="CI10" i="6"/>
  <c r="CW7" i="6"/>
  <c r="CU16" i="6"/>
  <c r="CV16" i="6" s="1"/>
  <c r="CI16" i="6"/>
  <c r="CW16" i="6"/>
  <c r="CX16" i="6" s="1"/>
  <c r="CU2" i="6"/>
  <c r="CV2" i="6" s="1"/>
  <c r="BQ5" i="6"/>
  <c r="BR5" i="6" s="1"/>
  <c r="CH5" i="6" s="1"/>
  <c r="BV5" i="6"/>
  <c r="BW5" i="6" s="1"/>
  <c r="CI5" i="6" s="1"/>
  <c r="CB5" i="6"/>
  <c r="CC5" i="6" s="1"/>
  <c r="CB11" i="6"/>
  <c r="CC11" i="6" s="1"/>
  <c r="BV11" i="6"/>
  <c r="BQ11" i="6"/>
  <c r="BR11" i="6" s="1"/>
  <c r="CH11" i="6" s="1"/>
  <c r="BV6" i="6"/>
  <c r="BW6" i="6" s="1"/>
  <c r="CI6" i="6" s="1"/>
  <c r="BQ6" i="6"/>
  <c r="BR6" i="6" s="1"/>
  <c r="CH6" i="6" s="1"/>
  <c r="CB6" i="6"/>
  <c r="CB15" i="6"/>
  <c r="CC15" i="6" s="1"/>
  <c r="BV15" i="6"/>
  <c r="BW15" i="6" s="1"/>
  <c r="CI15" i="6" s="1"/>
  <c r="BQ15" i="6"/>
  <c r="BR15" i="6" s="1"/>
  <c r="CH15" i="6" s="1"/>
  <c r="BV8" i="6"/>
  <c r="BW8" i="6" s="1"/>
  <c r="CI8" i="6" s="1"/>
  <c r="BQ8" i="6"/>
  <c r="BR8" i="6" s="1"/>
  <c r="CH8" i="6" s="1"/>
  <c r="CB8" i="6"/>
  <c r="CC8" i="6" s="1"/>
  <c r="CB3" i="6"/>
  <c r="CC3" i="6" s="1"/>
  <c r="BQ3" i="6"/>
  <c r="BR3" i="6" s="1"/>
  <c r="CH3" i="6" s="1"/>
  <c r="BV3" i="6"/>
  <c r="BW3" i="6" s="1"/>
  <c r="CI3" i="6" s="1"/>
  <c r="BQ10" i="6"/>
  <c r="BR10" i="6" s="1"/>
  <c r="CH10" i="6" s="1"/>
  <c r="BV10" i="6"/>
  <c r="BW10" i="6" s="1"/>
  <c r="CB10" i="6"/>
  <c r="CC10" i="6" s="1"/>
  <c r="BQ13" i="6"/>
  <c r="BR13" i="6" s="1"/>
  <c r="CH13" i="6" s="1"/>
  <c r="CB13" i="6"/>
  <c r="CC13" i="6" s="1"/>
  <c r="CB7" i="6"/>
  <c r="BV7" i="6"/>
  <c r="BW7" i="6" s="1"/>
  <c r="CI7" i="6" s="1"/>
  <c r="BQ7" i="6"/>
  <c r="BR7" i="6" s="1"/>
  <c r="CH7" i="6" s="1"/>
  <c r="BQ14" i="6"/>
  <c r="BR14" i="6" s="1"/>
  <c r="CH14" i="6" s="1"/>
  <c r="CB14" i="6"/>
  <c r="CC14" i="6" s="1"/>
  <c r="BV12" i="6"/>
  <c r="BW12" i="6" s="1"/>
  <c r="BQ12" i="6"/>
  <c r="BR12" i="6" s="1"/>
  <c r="CH12" i="6" s="1"/>
  <c r="CB12" i="6"/>
  <c r="CC12" i="6" s="1"/>
  <c r="BV16" i="6"/>
  <c r="BQ16" i="6"/>
  <c r="BR16" i="6" s="1"/>
  <c r="CH16" i="6" s="1"/>
  <c r="CB16" i="6"/>
  <c r="CC16" i="6" s="1"/>
  <c r="BV2" i="6"/>
  <c r="BW2" i="6" s="1"/>
  <c r="CI2" i="6" s="1"/>
  <c r="BQ2" i="6"/>
  <c r="CB2" i="6"/>
  <c r="CC2" i="6" s="1"/>
  <c r="CB9" i="6"/>
  <c r="CC9" i="6" s="1"/>
  <c r="BV9" i="6"/>
  <c r="BW9" i="6" s="1"/>
  <c r="CI9" i="6" s="1"/>
  <c r="BQ9" i="6"/>
  <c r="BR9" i="6" s="1"/>
  <c r="CH9" i="6" s="1"/>
  <c r="CB4" i="6"/>
  <c r="CC4" i="6" s="1"/>
  <c r="BV4" i="6"/>
  <c r="BW4" i="6" s="1"/>
  <c r="CI4" i="6" s="1"/>
  <c r="BQ4" i="6"/>
  <c r="BR4" i="6" s="1"/>
  <c r="CH4" i="6" s="1"/>
  <c r="BW16" i="6"/>
  <c r="BW11" i="6"/>
  <c r="CI11" i="6" s="1"/>
  <c r="CY14" i="6"/>
  <c r="CZ14" i="6" s="1"/>
  <c r="DB14" i="6" s="1"/>
  <c r="DA7" i="6"/>
  <c r="DB7" i="6" s="1"/>
  <c r="CW8" i="6"/>
  <c r="CX8" i="6" s="1"/>
  <c r="CW11" i="6"/>
  <c r="CW2" i="6"/>
  <c r="CX2" i="6" s="1"/>
  <c r="CM12" i="6"/>
  <c r="DA12" i="6"/>
  <c r="DB12" i="6" s="1"/>
  <c r="CW6" i="6"/>
  <c r="CX6" i="6" s="1"/>
  <c r="DA9" i="6"/>
  <c r="DB9" i="6" s="1"/>
  <c r="CM14" i="6"/>
  <c r="DA10" i="6"/>
  <c r="DB10" i="6" s="1"/>
  <c r="CY13" i="6"/>
  <c r="CZ13" i="6" s="1"/>
  <c r="DB13" i="6" s="1"/>
  <c r="CY3" i="6"/>
  <c r="CZ3" i="6" s="1"/>
  <c r="DB3" i="6" s="1"/>
  <c r="CT16" i="6"/>
  <c r="CM11" i="6"/>
  <c r="CM7" i="6"/>
  <c r="CU7" i="6"/>
  <c r="CV7" i="6" s="1"/>
  <c r="CX7" i="6" s="1"/>
  <c r="CY8" i="6"/>
  <c r="CZ8" i="6" s="1"/>
  <c r="DB8" i="6" s="1"/>
  <c r="CW12" i="6"/>
  <c r="CT8" i="6"/>
  <c r="DA11" i="6"/>
  <c r="DB11" i="6" s="1"/>
  <c r="DA4" i="6"/>
  <c r="DB4" i="6" s="1"/>
  <c r="CK8" i="6"/>
  <c r="CL8" i="6"/>
  <c r="CM13" i="6"/>
  <c r="DA16" i="6"/>
  <c r="DB16" i="6" s="1"/>
  <c r="CU13" i="6"/>
  <c r="CV13" i="6" s="1"/>
  <c r="CX13" i="6" s="1"/>
  <c r="CK12" i="6"/>
  <c r="CT11" i="6"/>
  <c r="CK14" i="6"/>
  <c r="CK3" i="6"/>
  <c r="CU5" i="6"/>
  <c r="CV5" i="6" s="1"/>
  <c r="CX5" i="6" s="1"/>
  <c r="CL3" i="6"/>
  <c r="CM9" i="6"/>
  <c r="CK9" i="6"/>
  <c r="CM15" i="6"/>
  <c r="CK15" i="6"/>
  <c r="CL7" i="6"/>
  <c r="CM16" i="6"/>
  <c r="CW4" i="6"/>
  <c r="CL16" i="6"/>
  <c r="CU10" i="6"/>
  <c r="CV10" i="6" s="1"/>
  <c r="CL10" i="6"/>
  <c r="CK10" i="6"/>
  <c r="CL13" i="6"/>
  <c r="CL4" i="6"/>
  <c r="CK4" i="6"/>
  <c r="CU9" i="6"/>
  <c r="CV9" i="6" s="1"/>
  <c r="CM2" i="6"/>
  <c r="CL2" i="6"/>
  <c r="CT12" i="6"/>
  <c r="CT6" i="6"/>
  <c r="CT4" i="6"/>
  <c r="CT3" i="6"/>
  <c r="CT14" i="6"/>
  <c r="CV15" i="6"/>
  <c r="CV12" i="6"/>
  <c r="CT7" i="6"/>
  <c r="CL9" i="6"/>
  <c r="CT13" i="6"/>
  <c r="CM10" i="6"/>
  <c r="CC6" i="6"/>
  <c r="CW15" i="6"/>
  <c r="CT15" i="6"/>
  <c r="CT5" i="6"/>
  <c r="DA6" i="6"/>
  <c r="DB6" i="6" s="1"/>
  <c r="CY15" i="6"/>
  <c r="CZ15" i="6" s="1"/>
  <c r="DB15" i="6" s="1"/>
  <c r="CT10" i="6"/>
  <c r="CT9" i="6"/>
  <c r="CW3" i="6"/>
  <c r="DA5" i="6"/>
  <c r="CY5" i="6"/>
  <c r="CQ2" i="6"/>
  <c r="CT2" i="6" s="1"/>
  <c r="CM5" i="6"/>
  <c r="CL5" i="6"/>
  <c r="BW13" i="6"/>
  <c r="CI13" i="6" s="1"/>
  <c r="CU14" i="6"/>
  <c r="CW14" i="6"/>
  <c r="CM6" i="6"/>
  <c r="CL6" i="6"/>
  <c r="BR2" i="6"/>
  <c r="CH2" i="6" s="1"/>
  <c r="DA2" i="6"/>
  <c r="CY2" i="6"/>
  <c r="CZ2" i="6" s="1"/>
  <c r="CC7" i="6"/>
  <c r="CN11" i="6" l="1"/>
  <c r="CX10" i="6"/>
  <c r="CX4" i="6"/>
  <c r="DC4" i="6" s="1"/>
  <c r="CX11" i="6"/>
  <c r="DC11" i="6" s="1"/>
  <c r="CX3" i="6"/>
  <c r="CX9" i="6"/>
  <c r="CN8" i="6"/>
  <c r="DC8" i="6" s="1"/>
  <c r="CN12" i="6"/>
  <c r="DG14" i="6"/>
  <c r="DH14" i="6" s="1"/>
  <c r="CN4" i="6"/>
  <c r="CN15" i="6"/>
  <c r="CN3" i="6"/>
  <c r="CX12" i="6"/>
  <c r="DG11" i="6"/>
  <c r="DH11" i="6" s="1"/>
  <c r="CN13" i="6"/>
  <c r="DC13" i="6" s="1"/>
  <c r="CN14" i="6"/>
  <c r="CN2" i="6"/>
  <c r="CN7" i="6"/>
  <c r="DC7" i="6" s="1"/>
  <c r="DD7" i="6" s="1"/>
  <c r="DE7" i="6" s="1"/>
  <c r="DG12" i="6"/>
  <c r="DH12" i="6" s="1"/>
  <c r="DG9" i="6"/>
  <c r="DH9" i="6" s="1"/>
  <c r="CN10" i="6"/>
  <c r="DC10" i="6" s="1"/>
  <c r="CN9" i="6"/>
  <c r="DC9" i="6" s="1"/>
  <c r="DG16" i="6"/>
  <c r="DH16" i="6" s="1"/>
  <c r="CN16" i="6"/>
  <c r="DC16" i="6" s="1"/>
  <c r="DG6" i="6"/>
  <c r="DH6" i="6" s="1"/>
  <c r="DG4" i="6"/>
  <c r="DH4" i="6" s="1"/>
  <c r="DG5" i="6"/>
  <c r="DH5" i="6" s="1"/>
  <c r="DG2" i="6"/>
  <c r="DH2" i="6" s="1"/>
  <c r="DG13" i="6"/>
  <c r="DH13" i="6" s="1"/>
  <c r="DG15" i="6"/>
  <c r="DH15" i="6" s="1"/>
  <c r="DG3" i="6"/>
  <c r="DH3" i="6" s="1"/>
  <c r="DG7" i="6"/>
  <c r="DH7" i="6" s="1"/>
  <c r="CN5" i="6"/>
  <c r="DG10" i="6"/>
  <c r="DH10" i="6" s="1"/>
  <c r="CX15" i="6"/>
  <c r="CN6" i="6"/>
  <c r="DC6" i="6" s="1"/>
  <c r="CZ5" i="6"/>
  <c r="DB5" i="6" s="1"/>
  <c r="DB2" i="6"/>
  <c r="DG8" i="6"/>
  <c r="DH8" i="6" s="1"/>
  <c r="CV14" i="6"/>
  <c r="CX14" i="6" s="1"/>
  <c r="DC3" i="6" l="1"/>
  <c r="DC12" i="6"/>
  <c r="DD12" i="6" s="1"/>
  <c r="DE12" i="6" s="1"/>
  <c r="DF7" i="6"/>
  <c r="DI7" i="6" s="1"/>
  <c r="DC15" i="6"/>
  <c r="DD15" i="6" s="1"/>
  <c r="DE15" i="6" s="1"/>
  <c r="DC2" i="6"/>
  <c r="DD2" i="6" s="1"/>
  <c r="DE2" i="6" s="1"/>
  <c r="DC14" i="6"/>
  <c r="DD14" i="6" s="1"/>
  <c r="DE14" i="6" s="1"/>
  <c r="DD6" i="6"/>
  <c r="DE6" i="6" s="1"/>
  <c r="DD13" i="6"/>
  <c r="DE13" i="6" s="1"/>
  <c r="DD10" i="6"/>
  <c r="DE10" i="6" s="1"/>
  <c r="DD4" i="6"/>
  <c r="DE4" i="6" s="1"/>
  <c r="DD9" i="6"/>
  <c r="DE9" i="6" s="1"/>
  <c r="DD16" i="6"/>
  <c r="DE16" i="6" s="1"/>
  <c r="DD11" i="6"/>
  <c r="DE11" i="6" s="1"/>
  <c r="DD3" i="6"/>
  <c r="DE3" i="6" s="1"/>
  <c r="DD8" i="6"/>
  <c r="DE8" i="6" s="1"/>
  <c r="DC5" i="6"/>
  <c r="DF13" i="6" l="1"/>
  <c r="DI13" i="6" s="1"/>
  <c r="DF11" i="6"/>
  <c r="DI11" i="6" s="1"/>
  <c r="DF12" i="6"/>
  <c r="DI12" i="6" s="1"/>
  <c r="DF4" i="6"/>
  <c r="DI4" i="6" s="1"/>
  <c r="DF15" i="6"/>
  <c r="DI15" i="6" s="1"/>
  <c r="DF8" i="6"/>
  <c r="DI8" i="6" s="1"/>
  <c r="DF9" i="6"/>
  <c r="DI9" i="6" s="1"/>
  <c r="DF10" i="6"/>
  <c r="DI10" i="6" s="1"/>
  <c r="DF3" i="6"/>
  <c r="DI3" i="6" s="1"/>
  <c r="DD5" i="6"/>
  <c r="DE5" i="6" s="1"/>
  <c r="DF16" i="6"/>
  <c r="DI16" i="6" s="1"/>
  <c r="DF2" i="6"/>
  <c r="DI2" i="6" s="1"/>
  <c r="DF6" i="6"/>
  <c r="DI6" i="6" s="1"/>
  <c r="DF14" i="6"/>
  <c r="DI14" i="6" s="1"/>
  <c r="DF5" i="6" l="1"/>
  <c r="DI5" i="6" s="1"/>
</calcChain>
</file>

<file path=xl/sharedStrings.xml><?xml version="1.0" encoding="utf-8"?>
<sst xmlns="http://schemas.openxmlformats.org/spreadsheetml/2006/main" count="834" uniqueCount="249">
  <si>
    <t>VG</t>
  </si>
  <si>
    <t>VGL</t>
  </si>
  <si>
    <t>VGY</t>
  </si>
  <si>
    <t>VGLY</t>
  </si>
  <si>
    <t>VE</t>
  </si>
  <si>
    <t>Stage 1 accuracy</t>
  </si>
  <si>
    <t>Years per cycle</t>
  </si>
  <si>
    <t>What is the genetic gains (GG) calculator?</t>
  </si>
  <si>
    <t>Stage 1 heritability</t>
  </si>
  <si>
    <t>What are the inputs needed for the GG calculator?</t>
  </si>
  <si>
    <t>What is the GG calculator good for?</t>
  </si>
  <si>
    <t>Number of fixed lines made</t>
  </si>
  <si>
    <t>Diagnostic SNP genotyping cost</t>
  </si>
  <si>
    <t>Genome profiling cost</t>
  </si>
  <si>
    <t>Cost of diagnostic marker genotyping</t>
  </si>
  <si>
    <t>Field phenotyping cost per plot</t>
  </si>
  <si>
    <t>Stage 1 proportion selected</t>
  </si>
  <si>
    <t>No of lines tested in Stage 2</t>
  </si>
  <si>
    <t>Number of stage 1 yield trial locations</t>
  </si>
  <si>
    <t>Number of Stage 1 yield trial years</t>
  </si>
  <si>
    <t>Number of Stage 1 replicates per trial</t>
  </si>
  <si>
    <t>Number of Stage 1 selection candidates (yield trial entries)</t>
  </si>
  <si>
    <t>Number of Stage 2 yield trial locations</t>
  </si>
  <si>
    <t>Number of Stage 2 yield trial years</t>
  </si>
  <si>
    <t>Number of Stage 2 yield trial reps</t>
  </si>
  <si>
    <t>Stage 2 heritability</t>
  </si>
  <si>
    <t>Stage 2 accuracy</t>
  </si>
  <si>
    <t>Stage 1 Gain per cycle</t>
  </si>
  <si>
    <t>Stage 2 proportion selected</t>
  </si>
  <si>
    <t>Stage 2 gain per cycle</t>
  </si>
  <si>
    <t>Total gain per cycle</t>
  </si>
  <si>
    <t>Total no. of stage 1 yield plots</t>
  </si>
  <si>
    <t>Total no. of Stage 2 plots</t>
  </si>
  <si>
    <t>Total Stage 2 quality phenotyping cost</t>
  </si>
  <si>
    <t>Is there a second stage of selection? (Yes=1, No=0)</t>
  </si>
  <si>
    <t>Cost of managing a location</t>
  </si>
  <si>
    <t>Inbreeding coefficient of line derivation parent</t>
  </si>
  <si>
    <t>Breeder position cost</t>
  </si>
  <si>
    <t>Breeder PY</t>
  </si>
  <si>
    <t>Pathologist position cost</t>
  </si>
  <si>
    <t>Pathologist PY</t>
  </si>
  <si>
    <t>Breeding informatics position cost</t>
  </si>
  <si>
    <t>Breeding informatics PY</t>
  </si>
  <si>
    <t>Geneticist position cost</t>
  </si>
  <si>
    <t>Geneticist PY</t>
  </si>
  <si>
    <t>Phenotyping specialist position cost</t>
  </si>
  <si>
    <t>Phenotyping specialist py</t>
  </si>
  <si>
    <t>quality specialist position cost</t>
  </si>
  <si>
    <t>quality specialist py</t>
  </si>
  <si>
    <t>Technician position cost</t>
  </si>
  <si>
    <t>Technician py</t>
  </si>
  <si>
    <t>Network and product manager position cost</t>
  </si>
  <si>
    <t>Network and product manager py</t>
  </si>
  <si>
    <t>Basal program costs</t>
  </si>
  <si>
    <t>Cost per year including basal program</t>
  </si>
  <si>
    <t xml:space="preserve">Quality phenotyping cost per entry x location bulk </t>
  </si>
  <si>
    <t>The GG calculator allows you to get an approximate estimate of the effect of changes to selection intensity, population size, heritability, number of site, years, and replicates of testing, number of selection stages, and cycle length on rate of genetic gain achieved per cycle and per year.  It is useful in thinking about how changes in resource allocation are likely to impact the rate of genetic gain.  It permits simple sensitivity analyses and is useful even if you don't have good estimates of variance components.  Looking at the impact of different resource allocations over a range of relative magnitudes of variance components can give you an idea about what sort of changes are likely to increase rates of GG across a range of conditions.</t>
  </si>
  <si>
    <t>Number of Stage 1 selection candidates advanced to Stage 2 or used as parents of the next cycle (NB- Must be &gt; value in column Q)</t>
  </si>
  <si>
    <t>Total Stage 1 quality phenotyping costs</t>
  </si>
  <si>
    <t>Total Stage 2 variable costs</t>
  </si>
  <si>
    <t>Gain per year</t>
  </si>
  <si>
    <t>Cost per year including 25% overhead and capital depreciation</t>
  </si>
  <si>
    <t>Cost per DH line</t>
  </si>
  <si>
    <t>Are lines developed by doubled haploidy (DH)? 0=no, 1=yes</t>
  </si>
  <si>
    <t>Proportion of lines advanced to Stage 1 replicated testing</t>
  </si>
  <si>
    <t>If lines are produced by selfing, how much does it cost per generation to advance 1 line (enter "0" for DH lines)</t>
  </si>
  <si>
    <t xml:space="preserve">Cost of line generation </t>
  </si>
  <si>
    <t>Cost of making a cross, quality control, and advancing to F2</t>
  </si>
  <si>
    <t>Total stage 1 variable costs (including profile genotyping)</t>
  </si>
  <si>
    <t>Cost of seed increase</t>
  </si>
  <si>
    <t>Is there a seed increase and/or testcross step? 0=no, yes=1</t>
  </si>
  <si>
    <t>Cost per line of seed increase/testcross</t>
  </si>
  <si>
    <t>Cost per Stage 1 entry of inoculated disease or insect screening</t>
  </si>
  <si>
    <t>Total Stage 1 disease or insect screening cost</t>
  </si>
  <si>
    <t>Total number of crosses</t>
  </si>
  <si>
    <t>The GG calculator uses the breeder's equation to model the impact of selection intensity, heritability, genetic variance, and cycle length on the rate of genetic gain expected from one cycle of selection.  The model allows you to explore the impact of different allocations of testing resources, and permits sensitivity analysis with respect to differing relative variance component magnitudes for those variances contributing to the variance of the mean of a selection unit.  The GG calculator models gains per cycle and per year assuming that parents of the next cycle are selected from one or two stages of testing.  The spreadsheet also allows many personnel, travel, and per-unit operating costs of breeding program operation to be included.</t>
  </si>
  <si>
    <t>Total cost of line generation, including diagnostic genotyping and seed increase and testcrossing (for hybrids)</t>
  </si>
  <si>
    <t>Cost per unit of genetic gain in standard deviations</t>
  </si>
  <si>
    <t>Year</t>
  </si>
  <si>
    <t>Season</t>
  </si>
  <si>
    <t>Activity</t>
  </si>
  <si>
    <t>Main</t>
  </si>
  <si>
    <t>Make F1</t>
  </si>
  <si>
    <t>Make F2</t>
  </si>
  <si>
    <t>Make F2.3 lines</t>
  </si>
  <si>
    <t>Make F3.4 lines</t>
  </si>
  <si>
    <t>Make F4.5 lines</t>
  </si>
  <si>
    <t xml:space="preserve">Main </t>
  </si>
  <si>
    <t>Make F5.6 lines</t>
  </si>
  <si>
    <t>Stage 1</t>
  </si>
  <si>
    <t>Stage 2</t>
  </si>
  <si>
    <t>Off</t>
  </si>
  <si>
    <t xml:space="preserve"> </t>
  </si>
  <si>
    <t>Generations per year</t>
  </si>
  <si>
    <t>Generation of line derivation</t>
  </si>
  <si>
    <t>F5</t>
  </si>
  <si>
    <t>F4</t>
  </si>
  <si>
    <t>No of Stage 3 yield trial locations</t>
  </si>
  <si>
    <t>No of Stage 3 yield trial years</t>
  </si>
  <si>
    <t>No of Stage 3 yield trial reps</t>
  </si>
  <si>
    <t>Number of Stage 3 lines selected as parents of the next cycle</t>
  </si>
  <si>
    <t>Is there a 3rd stage of selection (Yes=1, no =0)</t>
  </si>
  <si>
    <t>Number of lines tested in Stage 3</t>
  </si>
  <si>
    <t>Stage 3 proportion selected</t>
  </si>
  <si>
    <t>Stage 3 heritability</t>
  </si>
  <si>
    <t>Stage 3 accuracy</t>
  </si>
  <si>
    <t>Stage 3 gain per cycle</t>
  </si>
  <si>
    <t>Total number of Stage 3 plots</t>
  </si>
  <si>
    <t>No. of Stage 2 lines selected</t>
  </si>
  <si>
    <t>Total Stage 3 quality phenotyping cost</t>
  </si>
  <si>
    <t>Total Stage 3 variable costs</t>
  </si>
  <si>
    <t>F3</t>
  </si>
  <si>
    <t>Stage 3</t>
  </si>
  <si>
    <t>DH</t>
  </si>
  <si>
    <t>Induce</t>
  </si>
  <si>
    <t>Increase DH</t>
  </si>
  <si>
    <t>Stages</t>
  </si>
  <si>
    <t>Produce DH</t>
  </si>
  <si>
    <t>Total number of locations managed</t>
  </si>
  <si>
    <t>Total cost of locations</t>
  </si>
  <si>
    <t>Total cost of Stage 1 yield plots</t>
  </si>
  <si>
    <t>Total cost of Stage 2 yield plots</t>
  </si>
  <si>
    <t>Total cost of Stage 3 field plots</t>
  </si>
  <si>
    <t>F2</t>
  </si>
  <si>
    <t>Intermate</t>
  </si>
  <si>
    <t>Seasons of advance per year</t>
  </si>
  <si>
    <t>Number of testing stages</t>
  </si>
  <si>
    <t>F generation of line derivation</t>
  </si>
  <si>
    <t>Scheme</t>
  </si>
  <si>
    <t>F6</t>
  </si>
  <si>
    <t>Make F6.7 lnes</t>
  </si>
  <si>
    <t>Make F6,7</t>
  </si>
  <si>
    <t>Make F6,7 lines</t>
  </si>
  <si>
    <t>Equal plots</t>
  </si>
  <si>
    <t>Column A: Brief notes on or name of breeding scheme</t>
  </si>
  <si>
    <t>Column B: Breeding scheme number, for ease of sorting</t>
  </si>
  <si>
    <t>Column D: Filial generation of line derivation.  For example, put "3" in the cell if the breeding scheme evaluates F3-derived lines, "4" if it evaluates F4-derived lines.  Acceptable values are 2,3,,4,5,6, or DH (doubled haploid).  These values are used to calculate the proportion of the genetic variance component (column G) that is distributed among (rather than within) selection candidate lines (derived column BH)..  This value is subsequently used in calculating heritability and genetic gain per cycle at each stage</t>
  </si>
  <si>
    <t>Column E: Number of field testing stages before selection of parents for the next cycle.  Acceptable values are 1, 2, or 3.  This value is used in branching steps that determine whether to calculate and include estimates of gain from the second and third testing stages.</t>
  </si>
  <si>
    <r>
      <rPr>
        <i/>
        <sz val="10"/>
        <rFont val="Arial"/>
        <family val="2"/>
      </rPr>
      <t xml:space="preserve">Columns G-K: Variance components:  </t>
    </r>
    <r>
      <rPr>
        <sz val="10"/>
        <rFont val="Arial"/>
        <family val="2"/>
      </rPr>
      <t xml:space="preserve">Genetic, genotype x location, genotype x year, genotype x location, genotype x location x year, and plot residual estimates (or guesses) should be entered.  Used in calculating heritability. </t>
    </r>
  </si>
  <si>
    <t>Cost of generating a single fixed line</t>
  </si>
  <si>
    <t>Notes</t>
  </si>
  <si>
    <t>Total variable program cost per year</t>
  </si>
  <si>
    <t>Total cost per cycle</t>
  </si>
  <si>
    <t>VGE</t>
  </si>
  <si>
    <t>Harmonic mean of Stage 1 &amp; 2 reps</t>
  </si>
  <si>
    <t>Total locations Stage 1-3</t>
  </si>
  <si>
    <t>Harmonic mean of Stages 1-3 reps</t>
  </si>
  <si>
    <r>
      <rPr>
        <i/>
        <sz val="10"/>
        <rFont val="Arial"/>
        <family val="2"/>
      </rPr>
      <t xml:space="preserve">Column L: GxE variance component, calculated as the sum of the genotype x year, genotype x location, and genotype x year x location variance components.  </t>
    </r>
    <r>
      <rPr>
        <sz val="10"/>
        <rFont val="Arial"/>
        <family val="2"/>
      </rPr>
      <t>Used in calculating heritability of a mean estimated from Stages 2 or 3.</t>
    </r>
  </si>
  <si>
    <r>
      <rPr>
        <i/>
        <sz val="10"/>
        <rFont val="Arial"/>
        <family val="2"/>
      </rPr>
      <t xml:space="preserve">Columns M-O: Allocation of Stage 1 testing resources: </t>
    </r>
    <r>
      <rPr>
        <sz val="10"/>
        <rFont val="Arial"/>
        <family val="2"/>
      </rPr>
      <t xml:space="preserve">The number of sites, years, and replicates within sites used for testing Stage 1 selection candidates should be entered..  These values are needed for estimating heritability, accuracy, and costs.  </t>
    </r>
  </si>
  <si>
    <r>
      <rPr>
        <i/>
        <sz val="10"/>
        <rFont val="Arial"/>
        <family val="2"/>
      </rPr>
      <t xml:space="preserve">Column P: Number of Stage 1 selection candidates:  </t>
    </r>
    <r>
      <rPr>
        <sz val="10"/>
        <rFont val="Arial"/>
        <family val="2"/>
      </rPr>
      <t xml:space="preserve">The number of lines, clones, families, or testcrosses included in Stage 1 agronomic testing </t>
    </r>
  </si>
  <si>
    <r>
      <rPr>
        <i/>
        <sz val="10"/>
        <rFont val="Arial"/>
        <family val="2"/>
      </rPr>
      <t xml:space="preserve">Column Q: Number of Stage 1 selection candidates advanced to Stage 2 or used as parents of the next cycle in a single-stage selection process. </t>
    </r>
    <r>
      <rPr>
        <sz val="10"/>
        <rFont val="Arial"/>
        <family val="2"/>
      </rPr>
      <t>Columns O and P are used to calculate the Stage 1 selection intensity.</t>
    </r>
  </si>
  <si>
    <r>
      <t>Column R: Indicate here if you include a seed increase or testcrossing step in your breeding scheme.: If yes</t>
    </r>
    <r>
      <rPr>
        <sz val="10"/>
        <rFont val="Arial"/>
        <family val="2"/>
      </rPr>
      <t xml:space="preserve">, enter 1. If no, enter 2.  This is used in calculating costs.  </t>
    </r>
  </si>
  <si>
    <r>
      <t xml:space="preserve">Columns S-U: Allocation of Stage 2 testing resources: </t>
    </r>
    <r>
      <rPr>
        <sz val="10"/>
        <rFont val="Arial"/>
        <family val="2"/>
      </rPr>
      <t>The number of sites, years, and replicates within sites used for testing Stage 2 selection candidates should be entered in columns R, S, and T. Something needs to be entered here even if there is only one testing stage, however, if there is only one stage, the values will not affect the final calculated value for genetic gain, because of the switch in column E.  I usually just enter 1 for all 3 cells if there is no Stage 2</t>
    </r>
  </si>
  <si>
    <t>Total trials from Stage 1&amp;2</t>
  </si>
  <si>
    <r>
      <t xml:space="preserve">Column V:  Total trials from Stage 1 &amp; 2. </t>
    </r>
    <r>
      <rPr>
        <sz val="10"/>
        <rFont val="Arial"/>
        <family val="2"/>
      </rPr>
      <t>Used in estimating heritability for 2-stage selection</t>
    </r>
  </si>
  <si>
    <r>
      <t xml:space="preserve">Column W: Harmonic mean of the number of reps per Stage 1 and Stage 2 trial.  </t>
    </r>
    <r>
      <rPr>
        <sz val="10"/>
        <rFont val="Arial"/>
        <family val="2"/>
      </rPr>
      <t>This is used for estimation of heritability of lines selected from Stage 2, exploiting both Stage 1 and Stage 2 data.</t>
    </r>
  </si>
  <si>
    <r>
      <t xml:space="preserve">Column AB:  Total trials from Stage 1,2 &amp; 3. </t>
    </r>
    <r>
      <rPr>
        <sz val="10"/>
        <rFont val="Arial"/>
        <family val="2"/>
      </rPr>
      <t>Used in estimating heritability for 2-stage selection</t>
    </r>
  </si>
  <si>
    <r>
      <t xml:space="preserve">Column AC: Harmonic mean of the number of reps for Stage 1- 3 trials.  </t>
    </r>
    <r>
      <rPr>
        <sz val="10"/>
        <rFont val="Arial"/>
        <family val="2"/>
      </rPr>
      <t>This is used for estimation of heritability of lines selected from Stage 3, exploiting data from all three stages.</t>
    </r>
  </si>
  <si>
    <r>
      <t>Column AE: The cost of making a single cross, including quality control genotyping.</t>
    </r>
    <r>
      <rPr>
        <sz val="10"/>
        <rFont val="Arial"/>
        <family val="2"/>
      </rPr>
      <t xml:space="preserve">  </t>
    </r>
  </si>
  <si>
    <r>
      <t xml:space="preserve">Column AG:  Proportion of lines, families, or clones advanced from the nursery, SSD, or DH pipeline to Stage 1 replicated testing (beige-shaded). </t>
    </r>
    <r>
      <rPr>
        <sz val="10"/>
        <rFont val="Arial"/>
        <family val="2"/>
      </rPr>
      <t>Dividing the number of Stage 1 entries by this fraction gives you the number of lines, families, or clones you need to generate to be sure you will have enough Stage 1 entries.  For example, if you need 100 entries for Stage 1, and you discard 90% of new lines, families, or clones on the basis of visual selection or diagnostic marker screening, you need to generate 1000 lines, clones, or families.</t>
    </r>
    <r>
      <rPr>
        <i/>
        <sz val="10"/>
        <rFont val="Arial"/>
        <family val="2"/>
      </rPr>
      <t xml:space="preserve">  </t>
    </r>
  </si>
  <si>
    <r>
      <t xml:space="preserve">Column AH: Switch indicating if doubled haploidy was used to develop the lines. </t>
    </r>
    <r>
      <rPr>
        <sz val="10"/>
        <rFont val="Arial"/>
        <family val="2"/>
      </rPr>
      <t>This is needed for costing line development, since the costs of developing a fixed line via DH are usually different than the costs of developing a line by self-pollination.</t>
    </r>
    <r>
      <rPr>
        <i/>
        <sz val="10"/>
        <rFont val="Arial"/>
        <family val="2"/>
      </rPr>
      <t xml:space="preserve">  </t>
    </r>
    <r>
      <rPr>
        <sz val="10"/>
        <rFont val="Arial"/>
        <family val="2"/>
      </rPr>
      <t>If the line is developed via DH, enter "1".  If not, enter "0"</t>
    </r>
  </si>
  <si>
    <t>Column AK: The cost per line of seed increase or testcross progeny generation, ie, the cost of generating enough seed for multi-location testing.</t>
  </si>
  <si>
    <r>
      <t>Column AM: The additional or marginal cost of each field plot, in addition to the cost of renting, establishing, and managing the location:</t>
    </r>
    <r>
      <rPr>
        <sz val="10"/>
        <rFont val="Arial"/>
        <family val="2"/>
      </rPr>
      <t xml:space="preserve">  Insert here a realistic estimate for your cost for planting, managing, collecting data from, harvesting, and processing each field plot.</t>
    </r>
  </si>
  <si>
    <r>
      <t>Column AN: The cost of quality analysis for each entry x trial combination:</t>
    </r>
    <r>
      <rPr>
        <sz val="10"/>
        <rFont val="Arial"/>
        <family val="2"/>
      </rPr>
      <t xml:space="preserve">  For quality analysis, samples are often bulked over replicates within locations.  This is the cost of analysis for one such bulked sample.  This is easily modified if you do your quality analysis on a single-plot basis.  Modify this cost to fit your own program</t>
    </r>
  </si>
  <si>
    <r>
      <t>Column AO: The cost of inoculated disease and/or insect screening for each Stage 1 entry. (Yellow-shaded).</t>
    </r>
    <r>
      <rPr>
        <sz val="10"/>
        <rFont val="Arial"/>
        <family val="2"/>
      </rPr>
      <t xml:space="preserve">  Modify this cost to fit your own program</t>
    </r>
  </si>
  <si>
    <r>
      <t>Column AP: The cost of diagnostic SNP genotyping. (Yellow-shaded):</t>
    </r>
    <r>
      <rPr>
        <sz val="10"/>
        <rFont val="Arial"/>
        <family val="2"/>
      </rPr>
      <t xml:space="preserve">  This is the cost of SNP genotyping one line, clone, or family in the nursery, as a step in selecting the candidates that will be advanced to Stage 1 testing.  Includes DNA extraction and all tissue sampling costs.  Modify this cost to fit your program.</t>
    </r>
  </si>
  <si>
    <r>
      <t>Column AQ: The cost of genome profiling or fingerprinting:</t>
    </r>
    <r>
      <rPr>
        <sz val="10"/>
        <rFont val="Arial"/>
        <family val="2"/>
      </rPr>
      <t xml:space="preserve">  This is the cost of high-density marker genotyping (GBS, amplicon sequencing, SNP chip, etc) of one line, clone, or family included in Stage 1 testing, which is normally the point in the pipeline where one would invest in a high-density genotype for GS and quality assurance purposes..  Includes DNA extraction and all tissue sampling costs.  Modify this cost to fit your program.</t>
    </r>
  </si>
  <si>
    <r>
      <t>Columns AR to BG : The cost of personnel needed to support the breeding program:</t>
    </r>
    <r>
      <rPr>
        <sz val="10"/>
        <rFont val="Arial"/>
        <family val="2"/>
      </rPr>
      <t xml:space="preserve">  Each pair of columns is (i) the annual cost of a position and (ii) the proportion of that position (person-year (PY)) allocated to the breeding pipeline.</t>
    </r>
    <r>
      <rPr>
        <i/>
        <sz val="10"/>
        <rFont val="Arial"/>
        <family val="2"/>
      </rPr>
      <t xml:space="preserve"> Modify to fit your program</t>
    </r>
  </si>
  <si>
    <t>Column BJ: Total number of locations managed = the number of locations used in the final stage of selection.</t>
  </si>
  <si>
    <t xml:space="preserve">Column BL: Inbreeding coefficient of the plant from which the line was derived (calculated from Column D, and assuming 1.0 for DH lines). </t>
  </si>
  <si>
    <t>Column BO: Flag indicating whether there is a second stage of selection, for use in determining whether gain from Stage 2 should be added to gain from Stage 1.</t>
  </si>
  <si>
    <t>Column BP: Flag indicating whether there is a third stage of selection, for use in determining whether gain from Stage 3 should be added to gain from Stages 1 and 2.</t>
  </si>
  <si>
    <t>Annual meeting and travel costs</t>
  </si>
  <si>
    <r>
      <t>Column BH: Annual network meeting and travel costs:</t>
    </r>
    <r>
      <rPr>
        <sz val="10"/>
        <rFont val="Arial"/>
        <family val="2"/>
      </rPr>
      <t xml:space="preserve">  Most public sector breeding networks have one or two annual meetings for planning and advancement.  If your program has such a meeting, include an estimate of the cost</t>
    </r>
  </si>
  <si>
    <t>Column BI: Basal program costs calculated from the position costs and PYs  in columns AR-BH.</t>
  </si>
  <si>
    <r>
      <t xml:space="preserve">Column AI: The cost of developing a DH line.  </t>
    </r>
    <r>
      <rPr>
        <sz val="10"/>
        <rFont val="Arial"/>
        <family val="2"/>
      </rPr>
      <t>Enter an estimate of the real cost for schemes using DH lines.  Enter an arbitrary value greater than 0 for schemes not using DH lines- it will not affect costs, due to the switch in Column AH.</t>
    </r>
  </si>
  <si>
    <r>
      <t>Column AL: The cost of renting, establishing, and managing a location (Yellow-shaded):</t>
    </r>
    <r>
      <rPr>
        <sz val="10"/>
        <rFont val="Arial"/>
        <family val="2"/>
      </rPr>
      <t xml:space="preserve">  Insert here a realistic estimate for your cost of renting, managing, and visiting a location.  This is the fixed cost of the location.  </t>
    </r>
  </si>
  <si>
    <r>
      <rPr>
        <i/>
        <sz val="10"/>
        <rFont val="Arial"/>
        <family val="2"/>
      </rPr>
      <t>Column X: Number of Stage 2 entries selected for use a parents or for more advanced selection :</t>
    </r>
    <r>
      <rPr>
        <sz val="10"/>
        <rFont val="Arial"/>
        <family val="2"/>
      </rPr>
      <t xml:space="preserve"> This is needed for calculating Stage 2 selection intensity.  </t>
    </r>
    <r>
      <rPr>
        <b/>
        <sz val="10"/>
        <rFont val="Arial"/>
        <family val="2"/>
      </rPr>
      <t>Please note:  Even if there is only 1 selection stage, fill this in for a value that is less than the number selected for use as parents or advancement, otherwise there will be division by zero.  The value you use in this case doesn't matter, as long as it is less than the value in column Q.</t>
    </r>
  </si>
  <si>
    <r>
      <t xml:space="preserve">Columns Y-AA Allocation of Stage 3 testing resources: </t>
    </r>
    <r>
      <rPr>
        <sz val="10"/>
        <rFont val="Arial"/>
        <family val="2"/>
      </rPr>
      <t>The number of sites, years, and replicates within sites used for testing Stage 3 selection candidates should be entered in columns Y, Z, and AA, respectively. Something needs to be entered here even if there is no third testing stage, however, if there is no third stage, the values will not affect the final calculated value for genetic gain, because of the switch in column E.  I usually just enter 1 for all 3 cells if there is no Stage 3</t>
    </r>
  </si>
  <si>
    <r>
      <rPr>
        <i/>
        <sz val="10"/>
        <rFont val="Arial"/>
        <family val="2"/>
      </rPr>
      <t>Column AD: Number of Stage 3 entries selected for use a parents or for more advanced selection :</t>
    </r>
    <r>
      <rPr>
        <sz val="10"/>
        <rFont val="Arial"/>
        <family val="2"/>
      </rPr>
      <t xml:space="preserve"> This is needed for calculating Stage 2 selection intensity.  </t>
    </r>
    <r>
      <rPr>
        <b/>
        <sz val="10"/>
        <rFont val="Arial"/>
        <family val="2"/>
      </rPr>
      <t>Please note:  Even if there is no Stage 3,  fill this in for a value that is less than the number selected for use as parents or advancement, otherwise there will be division by zero.  The value you use in this case doesn't matter, as long as it is less than the value in column X.</t>
    </r>
  </si>
  <si>
    <t>Column BM: Cost of generating a single fixed line. This is either the cost of making a DH line (Column AI) or the cost of making a self pollination (AJ) x the number of generations of self pollination after the F2 (calculated from column D).</t>
  </si>
  <si>
    <t>Column BK = Total cost of managing locations = total number of locations (BJ) x Cost per location (AL)</t>
  </si>
  <si>
    <t>Column BN:  Number of fixed lines made, calculated as the number of Stage 1 entries (Column P) divided by the proportion of lines advanced from the final nursery to Stage 1 (Column AG).</t>
  </si>
  <si>
    <t>Column BR:  Accuracy of Stage 1 testing, calculated as the square root of broad-sense heritability (Column BQ)</t>
  </si>
  <si>
    <t>Make testcross</t>
  </si>
  <si>
    <t>Stage 1 proportion selected, adjusted for finite population</t>
  </si>
  <si>
    <t>Stage 1 standardized selection differential (finite pop)</t>
  </si>
  <si>
    <t>Stage 2 proportion selected, adjusted for finite population</t>
  </si>
  <si>
    <t>Stage 2 standardized selection differential (finite pop)</t>
  </si>
  <si>
    <t>Stage 3 proportion selected, adjusted for finite population</t>
  </si>
  <si>
    <t>Stage 3 standardized selection differential (finite pop)</t>
  </si>
  <si>
    <t>Key assumptions and limitations</t>
  </si>
  <si>
    <t xml:space="preserve">The GG calculator assumes selection is based on the genotypic value of an individual selection unit as estimated from field trials. It is assumed that this is the same as the breeding value.  The GG calculator does not model gains for systems based on selection for breeding values derived from the A- or G-matrix.  However, because the main impact of selecting for genomic- or pedigree-derived breeding value is to increase accuracy, you can get an idea of how such systems would perform by adjusting the genetic variance to reflect their increased accuracy. </t>
  </si>
  <si>
    <t>The tool is a deterministic model, and has no stochastic component either for meiosis or "noise" variance strata (GxE and plot error).  It predicts average gains expected over many samples of genotypes and environments</t>
  </si>
  <si>
    <t>It assumes that all GxE within the target population of environments is random.</t>
  </si>
  <si>
    <t>It assumes selection for one trait only</t>
  </si>
  <si>
    <t>Column C: Number of seasons or generations advanced per year via inbreeding. Note that this is not currently an input into any calculated parameter- it is included for reference only</t>
  </si>
  <si>
    <t xml:space="preserve">For 2 and 3-stage selection schemes, it is assumed that means are estimated from all trials in all years.  </t>
  </si>
  <si>
    <t>Column F: Number of years per cycle.  This must be calculated by the user, based on the breeding plan parameters and logistics (it is not calculable by the spreadsheet).  The value is used in calculating gains and costs on a per-year basis</t>
  </si>
  <si>
    <r>
      <t xml:space="preserve">Column AF:  The total number of crosses made per breeding cycle.  </t>
    </r>
    <r>
      <rPr>
        <sz val="10"/>
        <rFont val="Arial"/>
        <family val="2"/>
      </rPr>
      <t>For the purposes of this model, it is assumed that all possible crosses have been made among the lines selected as parents of the next cycle.  For example, if 10 lines are to be advanced as parents of the next cycle, the number of crosses = 10 * 9/2 = 45.</t>
    </r>
  </si>
  <si>
    <r>
      <t xml:space="preserve">Column AJ: The cost of advancing a line by one selfed generation (or of sub-lining via selfing and harvesting a single plant.  </t>
    </r>
    <r>
      <rPr>
        <sz val="10"/>
        <rFont val="Arial"/>
        <family val="2"/>
      </rPr>
      <t>So in maize, this would include the cost of selfing, harvesting, and separately bagging seed from a single plant.  In rice or wheat, it would be the cost of harvesting and bagging seed from a single panicle, head, or plant.</t>
    </r>
  </si>
  <si>
    <t>Column BT: Stage 1 proportion selected, p', adjusted for finite population, calculated as p' =(k + 0.5) / (n + k/2n), where n is the number of selection candidates and k is the number advanced to the next stage. (Mackay 2020).</t>
  </si>
  <si>
    <t>Column BS:  Proportion (p) of Stage 1 lines selected as parents of the next cycle (Column Q/Column P)</t>
  </si>
  <si>
    <t>Column BU: Standardized selection differential (SSD) adjusted for finite population size (p' used as proportion selected).  Calculated in Excel as SSD =NORMDIST(NORMSINV(1-p') ,0,1,0)/p'   (Mackay 2020)</t>
  </si>
  <si>
    <t>Column BQ:  Broad-sense heritability or repeatability of Stage 1 testing, calculated from the variance components in columns G-K (with the genetic and GxE variances adjusted for the inbreeding coefficient of the generation of line derivation (Column BL) and the number of locations, years, and reps within trials for Stage 1 (Columns M-O)</t>
  </si>
  <si>
    <t>Column BV: Broad sense heritability or repeatability of Stage 2 testing,  In Stage 2, GL, GY, and GLY variances are summed into a GE variance, which is divided by the total number of Stage 1 and Stage 2 trials in calculating the phenotypic variance.  Number of reps per site used in calculating heritability is the harmonic mean of reps in all trials.</t>
  </si>
  <si>
    <t>Column BW:  Accuracy of stage 2 testing, calculated as the square root of heritability of Stage 2 testing.</t>
  </si>
  <si>
    <t>Column BX:  Number of lines tested in Stage 2</t>
  </si>
  <si>
    <t>Column BY:  Proportion (p) of Stage 2 lines selected as parents of the next cycle (Column Q/Column P)</t>
  </si>
  <si>
    <t>Column BZ: Stage 2 proportion selected, p', adjusted for finite population, calculated as p' =(k + 0.5) / (n + k/2n), where n is the number of selection candidates and k is the number advanced to the next stage. (Mackay 2020).</t>
  </si>
  <si>
    <t>Column CA: Stage 2 standardized selection differential (SSD) adjusted for finite population size (p' used as proportion selected).  Calculated in Excel as SSD =NORMDIST(NORMSINV(1-p') ,0,1,0)/p'   (Mackay 2020)</t>
  </si>
  <si>
    <t>Column CB: Broad sense heritability or repeatability of Stage 3 testing,  In Stage 3, GL, GY, and GLY variances are summed into a GE variance, which is divided by the total number of Stage 1, 2 and 3 trials in calculating the phenotypic variance.  Number of reps per site used in calculating heritability is the harmonic mean of reps in all trials.</t>
  </si>
  <si>
    <t>Column CC:  Accuracy of stage 3 testing, calculated as the square root of heritability of Stage 3 testing.</t>
  </si>
  <si>
    <t>Column CD:  Number of lines tested in Stage 3</t>
  </si>
  <si>
    <t>Column CE:  Proportion (p) of Stage 3 lines selected as parents of the next cycle (Column Q/Column P)</t>
  </si>
  <si>
    <t>Column CF: Stage 3 proportion selected, p', adjusted for finite population, calculated as p' =(k + 0.5) / (n + k/2n), where n is the number of selection candidates and k is the number advanced to the next stage. (Mackay 2020).</t>
  </si>
  <si>
    <t>Column CG: Stage 3 standardized selection differential (SSD) adjusted for finite population size (p' used as proportion selected).  Calculated in Excel as SSD =NORMDIST(NORMSINV(1-p') ,0,1,0)/p'   (Mackay 2020)</t>
  </si>
  <si>
    <t>Column CH: Gains resulting from Stage 1 selection, calculated via the breeder's equation, using Stage 1 accuracy and standardized selection differential and the inbreeding-adjusted genetic standard-deviation.</t>
  </si>
  <si>
    <t>Column CI: Gains resulting from Stage 2 selection, calculated via the breeder's equation, using Stage 2 accuracy and standardized selection differential and the inbreeding-adjusted genetic standard-deviation.</t>
  </si>
  <si>
    <t>Column CJ: Gains resulting from Stage 3 selection, calculated via the breeder's equation, using Stage 3 accuracy and standardized selection differential and the inbreeding-adjusted genetic standard-deviation.</t>
  </si>
  <si>
    <t>Column CK: Total cost of line generation, calculated by multiplying the cost per line by the total number of lines</t>
  </si>
  <si>
    <t>Column CL: Cost of seed increase or testcross, calculated by multiplying the cost of increasing or testcrossing one line by the number of lines, assuming that this step is included</t>
  </si>
  <si>
    <t>Column CM:  Cost of diagnostic marker genotyping, calculated by multiplying the cost per line by the number of lines generated</t>
  </si>
  <si>
    <t>Column CN: Total cost of line generation, including diagnostic genotyping and seed increase and testcrossing (for hybrids)</t>
  </si>
  <si>
    <t>Cost of genome profiling of yield selection candidates</t>
  </si>
  <si>
    <t>Column CO:  Cost of genome profiling of yield selection candidates, calculated as the cost per line x the number of candidates advanced to Stage 1 testing</t>
  </si>
  <si>
    <t>Column CP:  Total number of Stage 1 yield plots, calculated as the product of the number of years, locations, replicates, and selection candidates in Stage 1</t>
  </si>
  <si>
    <t>Column CQ:  Total cost of Stage 1 yield plots, calculated as the number of Stage 1 plots x the cost per plot</t>
  </si>
  <si>
    <t>Column CR:  Total Stage 1 quality phenotyping costs, calculated as the number of Stage 1 entries x number of Stage 1 locations x cost per phenotyping an entry bulk from one location.</t>
  </si>
  <si>
    <t>Column CS:  Total Stage 1 insect or disease screening costs, calculated as the number of Stage 1 entries x cost per phenotyping one entry in a disease or insect nursery.</t>
  </si>
  <si>
    <t>Column CT:  Total stage 1 variable costs including profile genotyping, yield trial phenotyping, and quality, disease, and insect screening.</t>
  </si>
  <si>
    <t>Column CU:  Total number of Stage 2 yield plots, calculated as the product of the number of years, locations, replicates, and selection candidates in Stage 2</t>
  </si>
  <si>
    <t>Column CV:  Total cost of Stage 2 yield plots, calculated as the number of Stage 2 plots x the cost per plot</t>
  </si>
  <si>
    <t>Column CW:  Total Stage 2 quality phenotyping costs, calculated as the number of Stage 2 entries x number of Stage 2 locations x cost per phenotyping an entry bulk from one location.</t>
  </si>
  <si>
    <t>Column CX:  Total stage 2 variable costs including profile genotyping, yield trial phenotyping, and quality screening.</t>
  </si>
  <si>
    <t>Column CY:  Total number of Stage 3 yield plots, calculated as the product of the number of years, locations, replicates, and selection candidates in Stage 3</t>
  </si>
  <si>
    <t>Column CZ:  Total cost of Stage 3 yield plots, calculated as the number of Stage 3 plots x the cost per plot</t>
  </si>
  <si>
    <t>Column DA:  Total Stage 3 quality phenotyping costs, calculated as the number of Stage 3 entries x number of Stage 3 locations x cost per phenotyping an entry bulk from one location.</t>
  </si>
  <si>
    <t>Column DB:  Total Stage 3 variable costs including profile genotyping, yield trial phenotyping, and quality screening.</t>
  </si>
  <si>
    <t>Column DC: Total variable program cost per year, calculated by summing all Stage 1, 2, and 3 phenotyping costs, line generation costs, and the cost of maintaining locations</t>
  </si>
  <si>
    <t>Column DD: Cost per year, calculated by adding annual variable and basal costs</t>
  </si>
  <si>
    <t>Column DE: Cost per year including 25% overhead and capital depreciation, calculated by multiplying total cost per year from previous column x 1.25</t>
  </si>
  <si>
    <t>Column DF:  Cost per cycle, calculated by multiplying total cost per year x the number of years per cycle</t>
  </si>
  <si>
    <t>Column DI: Cost of one genetic standard deviation (GSD) of gain = total cost per cycle / Total gain (in GSDs)</t>
  </si>
  <si>
    <t>Column DH: Average gains per year = Total gains per cycle/ no. of years per cycle</t>
  </si>
  <si>
    <t>Column DG: Total gains per cycle = the sum of gains from Stage 1, 2, and 3 per cycle</t>
  </si>
  <si>
    <t>Intermediate outputs used in calculating genetic gains and costs per year and per cycle are listed in unshaded columns BI through DE</t>
  </si>
  <si>
    <t>The pipeline planner</t>
  </si>
  <si>
    <t>The third worksheet shows how we determined the number of years per cycle for each scheme.  This is not automated at all.  We simply listed each step undertaken in each season on the sheet, and counted up the number of years it would take to complete them.  You do not need to use this format to describe your pipeline, but you do need to accurately calculate the number of years required to complete a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</si>
</sst>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2" x14ac:knownFonts="1">
    <font>
      <sz val="10"/>
      <name val="Arial"/>
      <family val="2"/>
    </font>
    <font>
      <sz val="10"/>
      <name val="Arial"/>
      <family val="2"/>
    </font>
    <font>
      <b/>
      <sz val="10"/>
      <name val="Arial"/>
      <family val="2"/>
    </font>
    <font>
      <i/>
      <sz val="10"/>
      <name val="Arial"/>
      <family val="2"/>
    </font>
    <font>
      <b/>
      <sz val="10"/>
      <name val="Arial"/>
      <family val="2"/>
    </font>
    <font>
      <b/>
      <sz val="10"/>
      <color rgb="FF002060"/>
      <name val="Arial"/>
      <family val="2"/>
    </font>
    <font>
      <b/>
      <sz val="10"/>
      <color rgb="FFFF0000"/>
      <name val="Arial"/>
      <family val="2"/>
    </font>
    <font>
      <sz val="10"/>
      <color rgb="FF002060"/>
      <name val="Arial"/>
      <family val="2"/>
    </font>
    <font>
      <sz val="10"/>
      <color rgb="FFFF0000"/>
      <name val="Arial"/>
      <family val="2"/>
    </font>
    <font>
      <b/>
      <sz val="10"/>
      <color theme="1"/>
      <name val="Arial"/>
      <family val="2"/>
    </font>
    <font>
      <sz val="10"/>
      <color theme="1"/>
      <name val="Arial"/>
      <family val="2"/>
    </font>
    <font>
      <b/>
      <sz val="11"/>
      <color rgb="FFFF0000"/>
      <name val="Arial"/>
      <family val="2"/>
    </font>
  </fonts>
  <fills count="12">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BF1196"/>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63">
    <xf numFmtId="0" fontId="0" fillId="0" borderId="0" xfId="0"/>
    <xf numFmtId="0" fontId="0" fillId="0" borderId="0" xfId="0" applyAlignment="1">
      <alignment wrapText="1"/>
    </xf>
    <xf numFmtId="0" fontId="1" fillId="0" borderId="0" xfId="0" applyFont="1" applyAlignment="1">
      <alignment wrapText="1"/>
    </xf>
    <xf numFmtId="0" fontId="0" fillId="5" borderId="0" xfId="0" applyFill="1"/>
    <xf numFmtId="2" fontId="5" fillId="0" borderId="0" xfId="0" applyNumberFormat="1" applyFont="1"/>
    <xf numFmtId="1" fontId="0" fillId="0" borderId="0" xfId="0" applyNumberFormat="1"/>
    <xf numFmtId="0" fontId="2" fillId="0" borderId="0" xfId="0" applyFont="1" applyAlignment="1">
      <alignment wrapText="1"/>
    </xf>
    <xf numFmtId="0" fontId="3" fillId="0" borderId="0" xfId="0" applyFont="1" applyAlignment="1">
      <alignment wrapText="1"/>
    </xf>
    <xf numFmtId="164" fontId="6" fillId="0" borderId="0" xfId="0" applyNumberFormat="1" applyFont="1"/>
    <xf numFmtId="0" fontId="0" fillId="10" borderId="0" xfId="0" applyFill="1"/>
    <xf numFmtId="0" fontId="0" fillId="5" borderId="0" xfId="0" applyFont="1" applyFill="1" applyAlignment="1">
      <alignment wrapText="1"/>
    </xf>
    <xf numFmtId="0" fontId="0" fillId="0" borderId="0" xfId="0" applyFont="1" applyAlignment="1">
      <alignment wrapText="1"/>
    </xf>
    <xf numFmtId="1" fontId="0" fillId="0" borderId="0" xfId="0" applyNumberFormat="1" applyFont="1" applyAlignment="1">
      <alignment wrapText="1"/>
    </xf>
    <xf numFmtId="2" fontId="0" fillId="0" borderId="0" xfId="0" applyNumberFormat="1" applyFont="1" applyAlignment="1">
      <alignment wrapText="1"/>
    </xf>
    <xf numFmtId="2" fontId="7" fillId="0" borderId="0" xfId="0" applyNumberFormat="1" applyFont="1" applyAlignment="1">
      <alignment wrapText="1"/>
    </xf>
    <xf numFmtId="164" fontId="8" fillId="0" borderId="0" xfId="0" applyNumberFormat="1" applyFont="1" applyAlignment="1">
      <alignment wrapText="1"/>
    </xf>
    <xf numFmtId="0" fontId="4" fillId="0" borderId="0" xfId="0" applyFont="1" applyAlignment="1">
      <alignment wrapText="1"/>
    </xf>
    <xf numFmtId="1" fontId="2" fillId="0" borderId="0" xfId="0" applyNumberFormat="1" applyFont="1"/>
    <xf numFmtId="0" fontId="0" fillId="0" borderId="0" xfId="0" applyAlignment="1">
      <alignment horizontal="center" vertical="center" wrapText="1"/>
    </xf>
    <xf numFmtId="0" fontId="0" fillId="0" borderId="0" xfId="0" applyFont="1" applyFill="1" applyAlignment="1">
      <alignment wrapText="1"/>
    </xf>
    <xf numFmtId="0" fontId="0" fillId="0" borderId="0" xfId="0" applyFill="1"/>
    <xf numFmtId="164" fontId="2" fillId="0" borderId="0" xfId="0" applyNumberFormat="1" applyFont="1" applyAlignment="1">
      <alignment wrapText="1"/>
    </xf>
    <xf numFmtId="164" fontId="9" fillId="0" borderId="0" xfId="0" applyNumberFormat="1" applyFont="1" applyAlignment="1">
      <alignment wrapText="1"/>
    </xf>
    <xf numFmtId="0" fontId="0" fillId="10" borderId="0" xfId="0" applyFill="1" applyAlignment="1">
      <alignment wrapText="1"/>
    </xf>
    <xf numFmtId="0" fontId="4" fillId="10" borderId="0" xfId="0" applyFont="1" applyFill="1" applyAlignment="1">
      <alignment wrapText="1"/>
    </xf>
    <xf numFmtId="0" fontId="2" fillId="10" borderId="0" xfId="0" applyFont="1" applyFill="1" applyAlignment="1">
      <alignment wrapText="1"/>
    </xf>
    <xf numFmtId="164" fontId="6" fillId="0" borderId="0" xfId="0" applyNumberFormat="1" applyFont="1" applyAlignment="1">
      <alignment wrapText="1"/>
    </xf>
    <xf numFmtId="0" fontId="10" fillId="0" borderId="0" xfId="0" applyFont="1" applyAlignment="1">
      <alignment wrapText="1"/>
    </xf>
    <xf numFmtId="1" fontId="10" fillId="0" borderId="0" xfId="0" applyNumberFormat="1" applyFont="1" applyAlignment="1">
      <alignment wrapText="1"/>
    </xf>
    <xf numFmtId="0" fontId="9" fillId="0" borderId="0" xfId="0" applyFont="1"/>
    <xf numFmtId="0" fontId="2" fillId="7" borderId="0" xfId="0" applyFont="1" applyFill="1" applyAlignment="1">
      <alignment wrapText="1"/>
    </xf>
    <xf numFmtId="0" fontId="2" fillId="11" borderId="0" xfId="0" applyFont="1" applyFill="1" applyAlignment="1">
      <alignment horizontal="center" wrapText="1"/>
    </xf>
    <xf numFmtId="0" fontId="2" fillId="6" borderId="0" xfId="0" applyFont="1" applyFill="1" applyAlignment="1">
      <alignment wrapText="1"/>
    </xf>
    <xf numFmtId="0" fontId="2" fillId="2" borderId="0" xfId="0" applyFont="1" applyFill="1" applyAlignment="1">
      <alignment wrapText="1"/>
    </xf>
    <xf numFmtId="0" fontId="2" fillId="3" borderId="0" xfId="0" applyFont="1" applyFill="1" applyAlignment="1">
      <alignment wrapText="1"/>
    </xf>
    <xf numFmtId="0" fontId="2" fillId="8" borderId="0" xfId="0" applyFont="1" applyFill="1" applyAlignment="1">
      <alignment wrapText="1"/>
    </xf>
    <xf numFmtId="0" fontId="2" fillId="9" borderId="0" xfId="0" applyFont="1" applyFill="1" applyAlignment="1">
      <alignment wrapText="1"/>
    </xf>
    <xf numFmtId="0" fontId="2" fillId="4" borderId="0" xfId="0" applyFont="1" applyFill="1" applyAlignment="1">
      <alignment wrapText="1"/>
    </xf>
    <xf numFmtId="2" fontId="2" fillId="2" borderId="0" xfId="0" applyNumberFormat="1" applyFont="1" applyFill="1" applyAlignment="1">
      <alignment wrapText="1"/>
    </xf>
    <xf numFmtId="0" fontId="2" fillId="6" borderId="0" xfId="0" applyFont="1" applyFill="1"/>
    <xf numFmtId="0" fontId="2" fillId="8" borderId="0" xfId="0" applyFont="1" applyFill="1"/>
    <xf numFmtId="0" fontId="2" fillId="7" borderId="0" xfId="0" applyFont="1" applyFill="1"/>
    <xf numFmtId="0" fontId="2" fillId="3" borderId="0" xfId="0" applyFont="1" applyFill="1"/>
    <xf numFmtId="0" fontId="2" fillId="9" borderId="0" xfId="0" applyFont="1" applyFill="1"/>
    <xf numFmtId="0" fontId="2" fillId="10" borderId="0" xfId="0" applyFont="1" applyFill="1"/>
    <xf numFmtId="0" fontId="2" fillId="2" borderId="0" xfId="0" applyFont="1" applyFill="1"/>
    <xf numFmtId="0" fontId="2" fillId="4" borderId="0" xfId="0" applyFont="1" applyFill="1"/>
    <xf numFmtId="0" fontId="10" fillId="0" borderId="0" xfId="0" applyFont="1"/>
    <xf numFmtId="164" fontId="11" fillId="0" borderId="0" xfId="0" applyNumberFormat="1" applyFont="1" applyAlignment="1">
      <alignment wrapText="1"/>
    </xf>
    <xf numFmtId="164" fontId="11" fillId="0" borderId="0" xfId="0" applyNumberFormat="1" applyFont="1"/>
    <xf numFmtId="0" fontId="2" fillId="0" borderId="0" xfId="0" applyFont="1" applyFill="1" applyAlignment="1">
      <alignment wrapText="1"/>
    </xf>
    <xf numFmtId="2" fontId="2" fillId="0" borderId="0" xfId="0" applyNumberFormat="1" applyFont="1" applyFill="1" applyAlignment="1">
      <alignment wrapText="1"/>
    </xf>
    <xf numFmtId="0" fontId="2" fillId="0" borderId="0" xfId="0" applyFont="1" applyFill="1"/>
    <xf numFmtId="164" fontId="0" fillId="0" borderId="0" xfId="0" applyNumberFormat="1" applyFont="1" applyAlignment="1">
      <alignment wrapText="1"/>
    </xf>
    <xf numFmtId="164" fontId="0" fillId="0" borderId="0" xfId="0" applyNumberFormat="1"/>
    <xf numFmtId="165" fontId="0" fillId="0" borderId="0" xfId="0" applyNumberFormat="1" applyFont="1" applyAlignment="1">
      <alignment wrapText="1"/>
    </xf>
    <xf numFmtId="165" fontId="0" fillId="0" borderId="0" xfId="0" applyNumberFormat="1"/>
    <xf numFmtId="164" fontId="7" fillId="0" borderId="0" xfId="0" applyNumberFormat="1" applyFont="1" applyAlignment="1">
      <alignment wrapText="1"/>
    </xf>
    <xf numFmtId="0" fontId="0" fillId="0" borderId="0" xfId="0" applyFill="1" applyAlignment="1">
      <alignment wrapText="1"/>
    </xf>
    <xf numFmtId="0" fontId="4" fillId="0" borderId="0" xfId="0" applyFont="1" applyFill="1" applyAlignment="1">
      <alignment wrapText="1"/>
    </xf>
    <xf numFmtId="0" fontId="3" fillId="0" borderId="0" xfId="0" applyFont="1" applyFill="1" applyAlignment="1">
      <alignment wrapText="1"/>
    </xf>
    <xf numFmtId="0" fontId="0" fillId="0" borderId="0" xfId="0" applyFont="1" applyFill="1" applyAlignment="1">
      <alignment horizontal="left" wrapText="1"/>
    </xf>
    <xf numFmtId="0" fontId="0" fillId="0" borderId="0" xfId="0" applyFill="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17"/>
  <sheetViews>
    <sheetView zoomScale="98" zoomScaleNormal="98" workbookViewId="0">
      <pane xSplit="5" ySplit="1" topLeftCell="DC2" activePane="bottomRight" state="frozen"/>
      <selection pane="topRight" activeCell="F1" sqref="F1"/>
      <selection pane="bottomLeft" activeCell="A2" sqref="A2"/>
      <selection pane="bottomRight" activeCell="DE1" sqref="DE1"/>
    </sheetView>
  </sheetViews>
  <sheetFormatPr defaultColWidth="8.77734375" defaultRowHeight="33" customHeight="1" x14ac:dyDescent="0.25"/>
  <cols>
    <col min="1" max="1" width="11.44140625" style="9" customWidth="1"/>
    <col min="2" max="2" width="8.77734375" style="44"/>
    <col min="3" max="3" width="13.109375" style="31" customWidth="1"/>
    <col min="4" max="5" width="12.109375" style="31" customWidth="1"/>
    <col min="6" max="6" width="8.77734375" style="39"/>
    <col min="7" max="7" width="6.77734375" style="45" customWidth="1"/>
    <col min="8" max="8" width="6.44140625" style="45" customWidth="1"/>
    <col min="9" max="10" width="5.77734375" style="45" customWidth="1"/>
    <col min="11" max="11" width="4.77734375" style="45" customWidth="1"/>
    <col min="12" max="12" width="4.77734375" style="52" customWidth="1"/>
    <col min="13" max="13" width="11.33203125" style="42" customWidth="1"/>
    <col min="14" max="14" width="7.77734375" style="42" customWidth="1"/>
    <col min="15" max="15" width="7.109375" style="42" customWidth="1"/>
    <col min="16" max="16" width="12.109375" style="40" customWidth="1"/>
    <col min="17" max="17" width="22.33203125" style="40" customWidth="1"/>
    <col min="18" max="18" width="12.109375" style="41" customWidth="1"/>
    <col min="19" max="20" width="9.109375" style="42" customWidth="1"/>
    <col min="21" max="21" width="9.77734375" style="42" customWidth="1"/>
    <col min="22" max="22" width="9.109375" style="42" customWidth="1"/>
    <col min="23" max="23" width="9.6640625" style="42" customWidth="1"/>
    <col min="24" max="24" width="14.109375" style="42" customWidth="1"/>
    <col min="25" max="27" width="11.109375" style="43" customWidth="1"/>
    <col min="28" max="28" width="9.44140625" style="43" customWidth="1"/>
    <col min="29" max="29" width="19" style="43" customWidth="1"/>
    <col min="30" max="30" width="14.77734375" style="43" customWidth="1"/>
    <col min="31" max="32" width="12.44140625" style="44" customWidth="1"/>
    <col min="33" max="35" width="16" style="46" customWidth="1"/>
    <col min="36" max="36" width="19.33203125" style="46" customWidth="1"/>
    <col min="37" max="37" width="12.44140625" style="43" customWidth="1"/>
    <col min="38" max="39" width="16" style="41" customWidth="1"/>
    <col min="40" max="41" width="11.109375" style="41" customWidth="1"/>
    <col min="42" max="42" width="10.44140625" style="41" customWidth="1"/>
    <col min="43" max="43" width="10.77734375" style="41" customWidth="1"/>
    <col min="44" max="45" width="8.77734375" style="41"/>
    <col min="46" max="46" width="11.109375" style="41" customWidth="1"/>
    <col min="47" max="47" width="8.77734375" style="41"/>
    <col min="48" max="48" width="9.77734375" style="41" customWidth="1"/>
    <col min="49" max="51" width="8.77734375" style="41"/>
    <col min="52" max="59" width="12.77734375" style="41" customWidth="1"/>
    <col min="60" max="60" width="12.77734375" style="45" customWidth="1"/>
    <col min="61" max="63" width="12.77734375" style="3" customWidth="1"/>
    <col min="64" max="65" width="10.6640625" style="20" customWidth="1"/>
    <col min="66" max="66" width="10.109375" style="5" customWidth="1"/>
    <col min="67" max="67" width="12.109375" style="20" customWidth="1"/>
    <col min="68" max="68" width="14.109375" style="20" customWidth="1"/>
    <col min="69" max="69" width="9.77734375" style="54" customWidth="1"/>
    <col min="70" max="70" width="11.109375" style="54" customWidth="1"/>
    <col min="71" max="71" width="10.109375" customWidth="1"/>
    <col min="72" max="73" width="12.33203125" style="56" customWidth="1"/>
    <col min="74" max="74" width="10.44140625" style="54" customWidth="1"/>
    <col min="75" max="75" width="12.109375" style="54" customWidth="1"/>
    <col min="76" max="77" width="10.109375" customWidth="1"/>
    <col min="78" max="79" width="12.33203125" style="56" customWidth="1"/>
    <col min="80" max="80" width="9.77734375" customWidth="1"/>
    <col min="81" max="81" width="10.44140625" customWidth="1"/>
    <col min="82" max="83" width="10.109375" customWidth="1"/>
    <col min="84" max="85" width="12.33203125" style="56" customWidth="1"/>
    <col min="86" max="86" width="8.77734375" style="4"/>
    <col min="87" max="87" width="8.77734375" style="4" customWidth="1"/>
    <col min="88" max="88" width="9" style="4" customWidth="1"/>
    <col min="89" max="89" width="10.33203125" style="3" customWidth="1"/>
    <col min="90" max="90" width="11.77734375" style="3" customWidth="1"/>
    <col min="91" max="91" width="10.33203125" customWidth="1"/>
    <col min="92" max="92" width="13" customWidth="1"/>
    <col min="93" max="93" width="10.77734375" customWidth="1"/>
    <col min="94" max="94" width="9.109375" customWidth="1"/>
    <col min="95" max="97" width="7.77734375" customWidth="1"/>
    <col min="98" max="98" width="15.33203125" customWidth="1"/>
    <col min="99" max="99" width="12.6640625" customWidth="1"/>
    <col min="100" max="100" width="11.109375" customWidth="1"/>
    <col min="101" max="101" width="12.77734375" customWidth="1"/>
    <col min="102" max="103" width="9.77734375" customWidth="1"/>
    <col min="104" max="106" width="11.77734375" customWidth="1"/>
    <col min="107" max="107" width="8.77734375" style="29"/>
    <col min="108" max="108" width="11.77734375" style="29" customWidth="1"/>
    <col min="109" max="109" width="18.44140625" style="29" customWidth="1"/>
    <col min="110" max="110" width="18.44140625" style="47" customWidth="1"/>
    <col min="111" max="111" width="8.77734375" style="8"/>
    <col min="112" max="112" width="8.77734375" style="49"/>
    <col min="113" max="113" width="14.33203125" customWidth="1"/>
    <col min="120" max="125" width="11.77734375" bestFit="1" customWidth="1"/>
  </cols>
  <sheetData>
    <row r="1" spans="1:125" s="1" customFormat="1" ht="84.45" customHeight="1" x14ac:dyDescent="0.25">
      <c r="A1" s="23" t="s">
        <v>140</v>
      </c>
      <c r="B1" s="25" t="s">
        <v>128</v>
      </c>
      <c r="C1" s="31" t="s">
        <v>125</v>
      </c>
      <c r="D1" s="31" t="s">
        <v>127</v>
      </c>
      <c r="E1" s="31" t="s">
        <v>126</v>
      </c>
      <c r="F1" s="32" t="s">
        <v>6</v>
      </c>
      <c r="G1" s="33" t="s">
        <v>0</v>
      </c>
      <c r="H1" s="33" t="s">
        <v>1</v>
      </c>
      <c r="I1" s="33" t="s">
        <v>2</v>
      </c>
      <c r="J1" s="33" t="s">
        <v>3</v>
      </c>
      <c r="K1" s="33" t="s">
        <v>4</v>
      </c>
      <c r="L1" s="50" t="s">
        <v>143</v>
      </c>
      <c r="M1" s="34" t="s">
        <v>18</v>
      </c>
      <c r="N1" s="34" t="s">
        <v>19</v>
      </c>
      <c r="O1" s="34" t="s">
        <v>20</v>
      </c>
      <c r="P1" s="35" t="s">
        <v>21</v>
      </c>
      <c r="Q1" s="35" t="s">
        <v>57</v>
      </c>
      <c r="R1" s="30" t="s">
        <v>70</v>
      </c>
      <c r="S1" s="34" t="s">
        <v>22</v>
      </c>
      <c r="T1" s="34" t="s">
        <v>23</v>
      </c>
      <c r="U1" s="34" t="s">
        <v>24</v>
      </c>
      <c r="V1" s="34" t="s">
        <v>153</v>
      </c>
      <c r="W1" s="34" t="s">
        <v>144</v>
      </c>
      <c r="X1" s="34" t="s">
        <v>108</v>
      </c>
      <c r="Y1" s="36" t="s">
        <v>97</v>
      </c>
      <c r="Z1" s="36" t="s">
        <v>98</v>
      </c>
      <c r="AA1" s="36" t="s">
        <v>99</v>
      </c>
      <c r="AB1" s="36" t="s">
        <v>145</v>
      </c>
      <c r="AC1" s="36" t="s">
        <v>146</v>
      </c>
      <c r="AD1" s="36" t="s">
        <v>100</v>
      </c>
      <c r="AE1" s="25" t="s">
        <v>67</v>
      </c>
      <c r="AF1" s="25" t="s">
        <v>74</v>
      </c>
      <c r="AG1" s="37" t="s">
        <v>64</v>
      </c>
      <c r="AH1" s="37" t="s">
        <v>63</v>
      </c>
      <c r="AI1" s="37" t="s">
        <v>62</v>
      </c>
      <c r="AJ1" s="37" t="s">
        <v>65</v>
      </c>
      <c r="AK1" s="36" t="s">
        <v>71</v>
      </c>
      <c r="AL1" s="30" t="s">
        <v>35</v>
      </c>
      <c r="AM1" s="30" t="s">
        <v>15</v>
      </c>
      <c r="AN1" s="30" t="s">
        <v>55</v>
      </c>
      <c r="AO1" s="30" t="s">
        <v>72</v>
      </c>
      <c r="AP1" s="30" t="s">
        <v>12</v>
      </c>
      <c r="AQ1" s="30" t="s">
        <v>13</v>
      </c>
      <c r="AR1" s="30" t="s">
        <v>37</v>
      </c>
      <c r="AS1" s="30" t="s">
        <v>38</v>
      </c>
      <c r="AT1" s="30" t="s">
        <v>39</v>
      </c>
      <c r="AU1" s="30" t="s">
        <v>40</v>
      </c>
      <c r="AV1" s="30" t="s">
        <v>41</v>
      </c>
      <c r="AW1" s="30" t="s">
        <v>42</v>
      </c>
      <c r="AX1" s="30" t="s">
        <v>43</v>
      </c>
      <c r="AY1" s="30" t="s">
        <v>44</v>
      </c>
      <c r="AZ1" s="30" t="s">
        <v>45</v>
      </c>
      <c r="BA1" s="30" t="s">
        <v>46</v>
      </c>
      <c r="BB1" s="30" t="s">
        <v>47</v>
      </c>
      <c r="BC1" s="30" t="s">
        <v>48</v>
      </c>
      <c r="BD1" s="30" t="s">
        <v>49</v>
      </c>
      <c r="BE1" s="30" t="s">
        <v>50</v>
      </c>
      <c r="BF1" s="30" t="s">
        <v>51</v>
      </c>
      <c r="BG1" s="30" t="s">
        <v>52</v>
      </c>
      <c r="BH1" s="33" t="s">
        <v>172</v>
      </c>
      <c r="BI1" s="10" t="s">
        <v>53</v>
      </c>
      <c r="BJ1" s="10" t="s">
        <v>118</v>
      </c>
      <c r="BK1" s="10" t="s">
        <v>119</v>
      </c>
      <c r="BL1" s="19" t="s">
        <v>36</v>
      </c>
      <c r="BM1" s="19" t="s">
        <v>139</v>
      </c>
      <c r="BN1" s="12" t="s">
        <v>11</v>
      </c>
      <c r="BO1" s="19" t="s">
        <v>34</v>
      </c>
      <c r="BP1" s="19" t="s">
        <v>101</v>
      </c>
      <c r="BQ1" s="53" t="s">
        <v>8</v>
      </c>
      <c r="BR1" s="53" t="s">
        <v>5</v>
      </c>
      <c r="BS1" s="11" t="s">
        <v>16</v>
      </c>
      <c r="BT1" s="55" t="s">
        <v>185</v>
      </c>
      <c r="BU1" s="55" t="s">
        <v>186</v>
      </c>
      <c r="BV1" s="53" t="s">
        <v>25</v>
      </c>
      <c r="BW1" s="53" t="s">
        <v>26</v>
      </c>
      <c r="BX1" s="11" t="s">
        <v>17</v>
      </c>
      <c r="BY1" s="11" t="s">
        <v>28</v>
      </c>
      <c r="BZ1" s="55" t="s">
        <v>187</v>
      </c>
      <c r="CA1" s="55" t="s">
        <v>188</v>
      </c>
      <c r="CB1" s="13" t="s">
        <v>104</v>
      </c>
      <c r="CC1" s="13" t="s">
        <v>105</v>
      </c>
      <c r="CD1" s="11" t="s">
        <v>102</v>
      </c>
      <c r="CE1" s="11" t="s">
        <v>103</v>
      </c>
      <c r="CF1" s="55" t="s">
        <v>189</v>
      </c>
      <c r="CG1" s="55" t="s">
        <v>190</v>
      </c>
      <c r="CH1" s="14" t="s">
        <v>27</v>
      </c>
      <c r="CI1" s="14" t="s">
        <v>29</v>
      </c>
      <c r="CJ1" s="14" t="s">
        <v>106</v>
      </c>
      <c r="CK1" s="10" t="s">
        <v>66</v>
      </c>
      <c r="CL1" s="10" t="s">
        <v>69</v>
      </c>
      <c r="CM1" s="11" t="s">
        <v>14</v>
      </c>
      <c r="CN1" s="11" t="s">
        <v>76</v>
      </c>
      <c r="CO1" s="11" t="s">
        <v>224</v>
      </c>
      <c r="CP1" s="11" t="s">
        <v>31</v>
      </c>
      <c r="CQ1" s="11" t="s">
        <v>120</v>
      </c>
      <c r="CR1" s="11" t="s">
        <v>58</v>
      </c>
      <c r="CS1" s="11" t="s">
        <v>73</v>
      </c>
      <c r="CT1" s="11" t="s">
        <v>68</v>
      </c>
      <c r="CU1" s="11" t="s">
        <v>32</v>
      </c>
      <c r="CV1" s="11" t="s">
        <v>121</v>
      </c>
      <c r="CW1" s="11" t="s">
        <v>33</v>
      </c>
      <c r="CX1" s="11" t="s">
        <v>59</v>
      </c>
      <c r="CY1" s="11" t="s">
        <v>107</v>
      </c>
      <c r="CZ1" s="11" t="s">
        <v>122</v>
      </c>
      <c r="DA1" s="11" t="s">
        <v>109</v>
      </c>
      <c r="DB1" s="11" t="s">
        <v>110</v>
      </c>
      <c r="DC1" s="27" t="s">
        <v>141</v>
      </c>
      <c r="DD1" s="27" t="s">
        <v>54</v>
      </c>
      <c r="DE1" s="27" t="s">
        <v>61</v>
      </c>
      <c r="DF1" s="27" t="s">
        <v>142</v>
      </c>
      <c r="DG1" s="15" t="s">
        <v>30</v>
      </c>
      <c r="DH1" s="48" t="s">
        <v>60</v>
      </c>
      <c r="DI1" s="1" t="s">
        <v>77</v>
      </c>
    </row>
    <row r="2" spans="1:125" s="6" customFormat="1" ht="33" customHeight="1" x14ac:dyDescent="0.25">
      <c r="A2" s="24" t="s">
        <v>133</v>
      </c>
      <c r="B2" s="25">
        <v>5</v>
      </c>
      <c r="C2" s="31">
        <v>2</v>
      </c>
      <c r="D2" s="31">
        <v>4</v>
      </c>
      <c r="E2" s="31">
        <v>1</v>
      </c>
      <c r="F2" s="32">
        <v>4</v>
      </c>
      <c r="G2" s="38">
        <v>1</v>
      </c>
      <c r="H2" s="38">
        <v>0.25</v>
      </c>
      <c r="I2" s="38">
        <v>0.25</v>
      </c>
      <c r="J2" s="38">
        <v>1.25</v>
      </c>
      <c r="K2" s="38">
        <v>2.25</v>
      </c>
      <c r="L2" s="51">
        <f>H2+I2+J2</f>
        <v>1.75</v>
      </c>
      <c r="M2" s="34">
        <v>5</v>
      </c>
      <c r="N2" s="34">
        <v>1</v>
      </c>
      <c r="O2" s="34">
        <v>1</v>
      </c>
      <c r="P2" s="35">
        <v>200</v>
      </c>
      <c r="Q2" s="35">
        <v>10</v>
      </c>
      <c r="R2" s="30">
        <v>1</v>
      </c>
      <c r="S2" s="34">
        <v>1</v>
      </c>
      <c r="T2" s="34">
        <v>1</v>
      </c>
      <c r="U2" s="34">
        <v>1</v>
      </c>
      <c r="V2" s="34">
        <f t="shared" ref="V2:V16" si="0">S2+M2</f>
        <v>6</v>
      </c>
      <c r="W2" s="34">
        <f t="shared" ref="W2:W16" si="1">V2/((M2/O2)+(S2/U2))</f>
        <v>1</v>
      </c>
      <c r="X2" s="34">
        <v>9</v>
      </c>
      <c r="Y2" s="36">
        <v>1</v>
      </c>
      <c r="Z2" s="36">
        <v>1</v>
      </c>
      <c r="AA2" s="36">
        <v>1</v>
      </c>
      <c r="AB2" s="36">
        <f t="shared" ref="AB2:AB16" si="2">Y2+S2+M2</f>
        <v>7</v>
      </c>
      <c r="AC2" s="36">
        <f t="shared" ref="AC2:AC16" si="3">AB2/((M2/O2)+(S2/U2)+(Y2/AA2))</f>
        <v>1</v>
      </c>
      <c r="AD2" s="36">
        <v>8</v>
      </c>
      <c r="AE2" s="25">
        <v>100</v>
      </c>
      <c r="AF2" s="25">
        <v>45</v>
      </c>
      <c r="AG2" s="37">
        <v>0.1</v>
      </c>
      <c r="AH2" s="37">
        <v>0</v>
      </c>
      <c r="AI2" s="37">
        <v>20</v>
      </c>
      <c r="AJ2" s="37">
        <v>3</v>
      </c>
      <c r="AK2" s="36">
        <v>5</v>
      </c>
      <c r="AL2" s="30">
        <v>5000</v>
      </c>
      <c r="AM2" s="30">
        <v>30</v>
      </c>
      <c r="AN2" s="30">
        <v>30</v>
      </c>
      <c r="AO2" s="30">
        <v>30</v>
      </c>
      <c r="AP2" s="30">
        <v>2</v>
      </c>
      <c r="AQ2" s="30">
        <v>10</v>
      </c>
      <c r="AR2" s="30">
        <v>150000</v>
      </c>
      <c r="AS2" s="30">
        <v>0.25</v>
      </c>
      <c r="AT2" s="30">
        <v>150000</v>
      </c>
      <c r="AU2" s="30">
        <v>0.2</v>
      </c>
      <c r="AV2" s="30">
        <v>150000</v>
      </c>
      <c r="AW2" s="30">
        <v>0.2</v>
      </c>
      <c r="AX2" s="30">
        <v>150000</v>
      </c>
      <c r="AY2" s="30">
        <v>0.2</v>
      </c>
      <c r="AZ2" s="30">
        <v>150000</v>
      </c>
      <c r="BA2" s="30">
        <v>0.2</v>
      </c>
      <c r="BB2" s="30">
        <v>150000</v>
      </c>
      <c r="BC2" s="30">
        <v>0.2</v>
      </c>
      <c r="BD2" s="30">
        <v>40000</v>
      </c>
      <c r="BE2" s="30">
        <v>4</v>
      </c>
      <c r="BF2" s="30">
        <v>150000</v>
      </c>
      <c r="BG2" s="30">
        <v>0.25</v>
      </c>
      <c r="BH2" s="33">
        <v>20000</v>
      </c>
      <c r="BI2" s="10">
        <f t="shared" ref="BI2:BI13" si="4">(AR2*AS2)+(AT2*AU2)+(AV2*AW2)+(AX2*AY2)+(AZ2*BA2)+(BB2*BC2)+(BD2*BE2)+(BF2*BG2)+BH2</f>
        <v>405000</v>
      </c>
      <c r="BJ2" s="10">
        <f t="shared" ref="BJ2:BJ13" si="5">_xlfn.IFS(E2=1,M2,E2=2,S2,E2=3,Y2)</f>
        <v>5</v>
      </c>
      <c r="BK2" s="10">
        <f t="shared" ref="BK2:BK13" si="6">BJ2*AL2</f>
        <v>25000</v>
      </c>
      <c r="BL2" s="19">
        <f t="shared" ref="BL2:BL13" si="7">_xlfn.IFS(D2=2,0.5,D2=3,0.75,D2=4,0.875, D2=5,0.9375, D2=6, 0.96875, D2=7, 0.984375, D2="DH", 1)</f>
        <v>0.875</v>
      </c>
      <c r="BM2" s="19">
        <f t="shared" ref="BM2:BM13" si="8">_xlfn.IFS(D2&lt;&gt;"DH", (D2-1)*AJ2,D2="DH",AI2)</f>
        <v>9</v>
      </c>
      <c r="BN2" s="12">
        <f t="shared" ref="BN2:BN13" si="9">P2/AG2</f>
        <v>2000</v>
      </c>
      <c r="BO2" s="19">
        <f t="shared" ref="BO2:BO13" si="10">_xlfn.IFS(E2=1,0,E2=2,1,E2=3,1)</f>
        <v>0</v>
      </c>
      <c r="BP2" s="19">
        <f t="shared" ref="BP2:BP13" si="11">_xlfn.IFS(E2=1,0,E2=2,0,E2=3,1)</f>
        <v>0</v>
      </c>
      <c r="BQ2" s="53">
        <f>(BL2*G2)/((BL2*(G2+(H2/M2)+(I2)+(J2/M2))+(K2/(M2*O2))))</f>
        <v>0.48442906574394468</v>
      </c>
      <c r="BR2" s="53">
        <f t="shared" ref="BR2:BR13" si="12">BQ2^0.5</f>
        <v>0.69600938624701369</v>
      </c>
      <c r="BS2" s="13">
        <f t="shared" ref="BS2:BS13" si="13">(Q2/P2)</f>
        <v>0.05</v>
      </c>
      <c r="BT2" s="55">
        <f>(Q2+0.5)/(P2+(Q2/(2*P2)))</f>
        <v>5.2493438320209973E-2</v>
      </c>
      <c r="BU2" s="55">
        <f>NORMDIST(NORMSINV(1-BT2),0,1,0)/BT2</f>
        <v>2.0422977461124794</v>
      </c>
      <c r="BV2" s="53">
        <f t="shared" ref="BV2:BV17" si="14">(G2*BL2)/((BL2*(G2+(L2/V2))+(K2/(V2*W2))))</f>
        <v>0.58131487889273348</v>
      </c>
      <c r="BW2" s="53">
        <f t="shared" ref="BW2:BW13" si="15">SQRT(BV2)</f>
        <v>0.76244008216563053</v>
      </c>
      <c r="BX2" s="13">
        <f t="shared" ref="BX2:BX17" si="16">Q2</f>
        <v>10</v>
      </c>
      <c r="BY2" s="13">
        <f t="shared" ref="BY2:BY17" si="17">X2/Q2</f>
        <v>0.9</v>
      </c>
      <c r="BZ2" s="55">
        <f>(X2+0.5)/(Q2+(X2/(2*Q2)))</f>
        <v>0.90909090909090917</v>
      </c>
      <c r="CA2" s="55">
        <f>NORMDIST(NORMSINV(1-BZ2),0,1,0)/BZ2</f>
        <v>0.17996765351871488</v>
      </c>
      <c r="CB2" s="53">
        <f t="shared" ref="CB2:CB17" si="18">(G2*BL2)/(BL2*(G2+(L2/AB2))+(K2/(AB2*AC2)))</f>
        <v>0.6182965299684543</v>
      </c>
      <c r="CC2" s="53">
        <f t="shared" ref="CC2:CC13" si="19">CB2^0.5</f>
        <v>0.78631833882242264</v>
      </c>
      <c r="CD2" s="13">
        <f t="shared" ref="CD2:CD17" si="20">X2</f>
        <v>9</v>
      </c>
      <c r="CE2" s="13">
        <f t="shared" ref="CE2:CE17" si="21">AD2/CD2</f>
        <v>0.88888888888888884</v>
      </c>
      <c r="CF2" s="55">
        <f>(AD2+0.5)/(X2+(AD2/(2*X2)))</f>
        <v>0.9</v>
      </c>
      <c r="CG2" s="55">
        <f>NORMDIST(NORMSINV(1-CF2),0,1,0)/CF2</f>
        <v>0.19499814659165199</v>
      </c>
      <c r="CH2" s="57">
        <f t="shared" ref="CH2:CH17" si="22">BU2*BR2*SQRT(G2*BL2)</f>
        <v>1.3296525813413553</v>
      </c>
      <c r="CI2" s="14">
        <f t="shared" ref="CI2:CI17" si="23">BO2*BW2*CA2*SQRT(G2*BL2)</f>
        <v>0</v>
      </c>
      <c r="CJ2" s="14">
        <f>BP2*CG2*CC2*SQRT(G2*BL2)</f>
        <v>0</v>
      </c>
      <c r="CK2" s="10">
        <f t="shared" ref="CK2:CK17" si="24">BM2*BN2</f>
        <v>18000</v>
      </c>
      <c r="CL2" s="10">
        <f t="shared" ref="CL2:CL17" si="25">BN2*AK2*R2</f>
        <v>10000</v>
      </c>
      <c r="CM2" s="11">
        <f t="shared" ref="CM2:CM17" si="26">BN2*AP2</f>
        <v>4000</v>
      </c>
      <c r="CN2" s="11">
        <f t="shared" ref="CN2:CN13" si="27">CK2+CL2+CM2</f>
        <v>32000</v>
      </c>
      <c r="CO2" s="11">
        <f t="shared" ref="CO2:CO17" si="28">AQ2*P2</f>
        <v>2000</v>
      </c>
      <c r="CP2" s="11">
        <f t="shared" ref="CP2:CP17" si="29">M2*N2*O2*P2</f>
        <v>1000</v>
      </c>
      <c r="CQ2" s="11">
        <f t="shared" ref="CQ2:CQ17" si="30">CP2*AM2</f>
        <v>30000</v>
      </c>
      <c r="CR2" s="11">
        <f t="shared" ref="CR2:CR17" si="31">M2*P2*AN2</f>
        <v>30000</v>
      </c>
      <c r="CS2" s="11">
        <f t="shared" ref="CS2:CS17" si="32">P2*AO2</f>
        <v>6000</v>
      </c>
      <c r="CT2" s="11">
        <f t="shared" ref="CT2:CT13" si="33">CQ2+CR2+CO2+CS2</f>
        <v>68000</v>
      </c>
      <c r="CU2" s="11">
        <f t="shared" ref="CU2:CU17" si="34">BO2*(S2*T2*U2*Q2)</f>
        <v>0</v>
      </c>
      <c r="CV2" s="11">
        <f t="shared" ref="CV2:CV17" si="35">CU2*AM2</f>
        <v>0</v>
      </c>
      <c r="CW2" s="11">
        <f t="shared" ref="CW2:CW17" si="36">BO2*S2*T2*Q2*AN2</f>
        <v>0</v>
      </c>
      <c r="CX2" s="11">
        <f t="shared" ref="CX2:CX13" si="37">CV2+CW2</f>
        <v>0</v>
      </c>
      <c r="CY2" s="11">
        <f t="shared" ref="CY2:CY17" si="38">(BP2*Y2*Z2*AA2*X2)</f>
        <v>0</v>
      </c>
      <c r="CZ2" s="11">
        <f t="shared" ref="CZ2:CZ17" si="39">CY2*AM2</f>
        <v>0</v>
      </c>
      <c r="DA2" s="11">
        <f t="shared" ref="DA2:DA17" si="40">BP2*Y2*Z2*X2*AN2</f>
        <v>0</v>
      </c>
      <c r="DB2" s="11">
        <f t="shared" ref="DB2:DB13" si="41">CZ2+DA2</f>
        <v>0</v>
      </c>
      <c r="DC2" s="27">
        <f t="shared" ref="DC2:DC17" si="42">CX2+CT2+DB2+CN2+BK2</f>
        <v>125000</v>
      </c>
      <c r="DD2" s="28">
        <f t="shared" ref="DD2:DD17" si="43">DC2+BI2</f>
        <v>530000</v>
      </c>
      <c r="DE2" s="28">
        <f t="shared" ref="DE2:DE13" si="44">DD2*1.25</f>
        <v>662500</v>
      </c>
      <c r="DF2" s="28">
        <f t="shared" ref="DF2:DF17" si="45">DE2*F2</f>
        <v>2650000</v>
      </c>
      <c r="DG2" s="15">
        <f t="shared" ref="DG2:DG13" si="46">CH2+CI2+CJ2</f>
        <v>1.3296525813413553</v>
      </c>
      <c r="DH2" s="48">
        <f t="shared" ref="DH2:DH17" si="47">DG2/F2</f>
        <v>0.33241314533533883</v>
      </c>
      <c r="DI2" s="17">
        <f t="shared" ref="DI2:DI13" si="48">DF2/DG2</f>
        <v>1993001.8090339631</v>
      </c>
      <c r="DP2" s="21"/>
      <c r="DQ2" s="21"/>
      <c r="DR2" s="22"/>
      <c r="DS2" s="21"/>
      <c r="DT2" s="21"/>
      <c r="DU2" s="21"/>
    </row>
    <row r="3" spans="1:125" s="6" customFormat="1" ht="33" customHeight="1" x14ac:dyDescent="0.25">
      <c r="A3" s="24" t="s">
        <v>133</v>
      </c>
      <c r="B3" s="25">
        <v>6</v>
      </c>
      <c r="C3" s="31">
        <v>2</v>
      </c>
      <c r="D3" s="31">
        <v>5</v>
      </c>
      <c r="E3" s="31">
        <v>1</v>
      </c>
      <c r="F3" s="32">
        <v>5</v>
      </c>
      <c r="G3" s="38">
        <v>1</v>
      </c>
      <c r="H3" s="38">
        <v>0.25</v>
      </c>
      <c r="I3" s="38">
        <v>0.25</v>
      </c>
      <c r="J3" s="38">
        <v>1.25</v>
      </c>
      <c r="K3" s="38">
        <v>2.25</v>
      </c>
      <c r="L3" s="51">
        <f t="shared" ref="L3:L16" si="49">H3+I3+J3</f>
        <v>1.75</v>
      </c>
      <c r="M3" s="34">
        <v>5</v>
      </c>
      <c r="N3" s="34">
        <v>1</v>
      </c>
      <c r="O3" s="34">
        <v>1</v>
      </c>
      <c r="P3" s="35">
        <v>200</v>
      </c>
      <c r="Q3" s="35">
        <v>10</v>
      </c>
      <c r="R3" s="30">
        <v>1</v>
      </c>
      <c r="S3" s="34">
        <v>1</v>
      </c>
      <c r="T3" s="34">
        <v>1</v>
      </c>
      <c r="U3" s="34">
        <v>1</v>
      </c>
      <c r="V3" s="34">
        <f t="shared" si="0"/>
        <v>6</v>
      </c>
      <c r="W3" s="34">
        <f t="shared" si="1"/>
        <v>1</v>
      </c>
      <c r="X3" s="34">
        <v>9</v>
      </c>
      <c r="Y3" s="36">
        <v>1</v>
      </c>
      <c r="Z3" s="36">
        <v>1</v>
      </c>
      <c r="AA3" s="36">
        <v>1</v>
      </c>
      <c r="AB3" s="36">
        <f t="shared" si="2"/>
        <v>7</v>
      </c>
      <c r="AC3" s="36">
        <f t="shared" si="3"/>
        <v>1</v>
      </c>
      <c r="AD3" s="36">
        <v>8</v>
      </c>
      <c r="AE3" s="25">
        <v>100</v>
      </c>
      <c r="AF3" s="25">
        <v>45</v>
      </c>
      <c r="AG3" s="37">
        <v>0.1</v>
      </c>
      <c r="AH3" s="37">
        <v>0</v>
      </c>
      <c r="AI3" s="37">
        <v>20</v>
      </c>
      <c r="AJ3" s="37">
        <v>3</v>
      </c>
      <c r="AK3" s="36">
        <v>5</v>
      </c>
      <c r="AL3" s="30">
        <v>5000</v>
      </c>
      <c r="AM3" s="30">
        <v>30</v>
      </c>
      <c r="AN3" s="30">
        <v>30</v>
      </c>
      <c r="AO3" s="30">
        <v>30</v>
      </c>
      <c r="AP3" s="30">
        <v>2</v>
      </c>
      <c r="AQ3" s="30">
        <v>10</v>
      </c>
      <c r="AR3" s="30">
        <v>150000</v>
      </c>
      <c r="AS3" s="30">
        <v>0.25</v>
      </c>
      <c r="AT3" s="30">
        <v>150000</v>
      </c>
      <c r="AU3" s="30">
        <v>0.2</v>
      </c>
      <c r="AV3" s="30">
        <v>150000</v>
      </c>
      <c r="AW3" s="30">
        <v>0.2</v>
      </c>
      <c r="AX3" s="30">
        <v>150000</v>
      </c>
      <c r="AY3" s="30">
        <v>0.2</v>
      </c>
      <c r="AZ3" s="30">
        <v>150000</v>
      </c>
      <c r="BA3" s="30">
        <v>0.2</v>
      </c>
      <c r="BB3" s="30">
        <v>150000</v>
      </c>
      <c r="BC3" s="30">
        <v>0.2</v>
      </c>
      <c r="BD3" s="30">
        <v>40000</v>
      </c>
      <c r="BE3" s="30">
        <v>4</v>
      </c>
      <c r="BF3" s="30">
        <v>150000</v>
      </c>
      <c r="BG3" s="30">
        <v>0.25</v>
      </c>
      <c r="BH3" s="33">
        <v>20000</v>
      </c>
      <c r="BI3" s="10">
        <f t="shared" si="4"/>
        <v>405000</v>
      </c>
      <c r="BJ3" s="10">
        <f t="shared" si="5"/>
        <v>5</v>
      </c>
      <c r="BK3" s="10">
        <f t="shared" si="6"/>
        <v>25000</v>
      </c>
      <c r="BL3" s="19">
        <f t="shared" si="7"/>
        <v>0.9375</v>
      </c>
      <c r="BM3" s="19">
        <f t="shared" si="8"/>
        <v>12</v>
      </c>
      <c r="BN3" s="12">
        <f t="shared" si="9"/>
        <v>2000</v>
      </c>
      <c r="BO3" s="19">
        <f t="shared" si="10"/>
        <v>0</v>
      </c>
      <c r="BP3" s="19">
        <f t="shared" si="11"/>
        <v>0</v>
      </c>
      <c r="BQ3" s="53">
        <f t="shared" ref="BQ3:BQ17" si="50">(BL3*G3)/((BL3*(G3+(H3/M3)+(I3)+(J3/M3))+(K3/(M3*O3))))</f>
        <v>0.49261083743842365</v>
      </c>
      <c r="BR3" s="53">
        <f t="shared" si="12"/>
        <v>0.70186240634359642</v>
      </c>
      <c r="BS3" s="13">
        <f t="shared" si="13"/>
        <v>0.05</v>
      </c>
      <c r="BT3" s="55">
        <f t="shared" ref="BT3:BT17" si="51">(Q3+0.5)/(P3+(Q3/(2*P3)))</f>
        <v>5.2493438320209973E-2</v>
      </c>
      <c r="BU3" s="55">
        <f t="shared" ref="BU3:BU17" si="52">NORMDIST(NORMSINV(1-BT3),0,1,0)/BT3</f>
        <v>2.0422977461124794</v>
      </c>
      <c r="BV3" s="53">
        <f t="shared" si="14"/>
        <v>0.59113300492610843</v>
      </c>
      <c r="BW3" s="53">
        <f t="shared" si="15"/>
        <v>0.76885174443848958</v>
      </c>
      <c r="BX3" s="13">
        <f t="shared" si="16"/>
        <v>10</v>
      </c>
      <c r="BY3" s="13">
        <f t="shared" si="17"/>
        <v>0.9</v>
      </c>
      <c r="BZ3" s="55">
        <f t="shared" ref="BZ3:BZ17" si="53">(X3+0.5)/(Q3+(X3/(2*Q3)))</f>
        <v>0.90909090909090917</v>
      </c>
      <c r="CA3" s="55">
        <f t="shared" ref="CA3:CA17" si="54">NORMDIST(NORMSINV(1-BZ3),0,1,0)/BZ3</f>
        <v>0.17996765351871488</v>
      </c>
      <c r="CB3" s="53">
        <f t="shared" si="18"/>
        <v>0.62780269058295968</v>
      </c>
      <c r="CC3" s="53">
        <f t="shared" si="19"/>
        <v>0.79234000945488026</v>
      </c>
      <c r="CD3" s="13">
        <f t="shared" si="20"/>
        <v>9</v>
      </c>
      <c r="CE3" s="13">
        <f t="shared" si="21"/>
        <v>0.88888888888888884</v>
      </c>
      <c r="CF3" s="55">
        <f t="shared" ref="CF3:CF17" si="55">(AD3+0.5)/(X3+(AD3/(2*X3)))</f>
        <v>0.9</v>
      </c>
      <c r="CG3" s="55">
        <f t="shared" ref="CG3:CG17" si="56">NORMDIST(NORMSINV(1-CF3),0,1,0)/CF3</f>
        <v>0.19499814659165199</v>
      </c>
      <c r="CH3" s="57">
        <f t="shared" si="22"/>
        <v>1.3878952112848584</v>
      </c>
      <c r="CI3" s="14">
        <f t="shared" si="23"/>
        <v>0</v>
      </c>
      <c r="CJ3" s="14">
        <f t="shared" ref="CJ3:CJ17" si="57">BP3*CG3*CC3*SQRT(G3*BL3)</f>
        <v>0</v>
      </c>
      <c r="CK3" s="10">
        <f t="shared" si="24"/>
        <v>24000</v>
      </c>
      <c r="CL3" s="10">
        <f t="shared" si="25"/>
        <v>10000</v>
      </c>
      <c r="CM3" s="11">
        <f t="shared" si="26"/>
        <v>4000</v>
      </c>
      <c r="CN3" s="11">
        <f t="shared" si="27"/>
        <v>38000</v>
      </c>
      <c r="CO3" s="11">
        <f t="shared" si="28"/>
        <v>2000</v>
      </c>
      <c r="CP3" s="11">
        <f t="shared" si="29"/>
        <v>1000</v>
      </c>
      <c r="CQ3" s="11">
        <f t="shared" si="30"/>
        <v>30000</v>
      </c>
      <c r="CR3" s="11">
        <f t="shared" si="31"/>
        <v>30000</v>
      </c>
      <c r="CS3" s="11">
        <f t="shared" si="32"/>
        <v>6000</v>
      </c>
      <c r="CT3" s="11">
        <f t="shared" si="33"/>
        <v>68000</v>
      </c>
      <c r="CU3" s="11">
        <f t="shared" si="34"/>
        <v>0</v>
      </c>
      <c r="CV3" s="11">
        <f t="shared" si="35"/>
        <v>0</v>
      </c>
      <c r="CW3" s="11">
        <f t="shared" si="36"/>
        <v>0</v>
      </c>
      <c r="CX3" s="11">
        <f t="shared" si="37"/>
        <v>0</v>
      </c>
      <c r="CY3" s="11">
        <f t="shared" si="38"/>
        <v>0</v>
      </c>
      <c r="CZ3" s="11">
        <f t="shared" si="39"/>
        <v>0</v>
      </c>
      <c r="DA3" s="11">
        <f t="shared" si="40"/>
        <v>0</v>
      </c>
      <c r="DB3" s="11">
        <f t="shared" si="41"/>
        <v>0</v>
      </c>
      <c r="DC3" s="27">
        <f t="shared" si="42"/>
        <v>131000</v>
      </c>
      <c r="DD3" s="28">
        <f t="shared" si="43"/>
        <v>536000</v>
      </c>
      <c r="DE3" s="28">
        <f t="shared" si="44"/>
        <v>670000</v>
      </c>
      <c r="DF3" s="28">
        <f t="shared" si="45"/>
        <v>3350000</v>
      </c>
      <c r="DG3" s="15">
        <f t="shared" si="46"/>
        <v>1.3878952112848584</v>
      </c>
      <c r="DH3" s="48">
        <f t="shared" si="47"/>
        <v>0.27757904225697166</v>
      </c>
      <c r="DI3" s="17">
        <f t="shared" si="48"/>
        <v>2413726.8957781782</v>
      </c>
      <c r="DP3" s="21"/>
      <c r="DQ3" s="21"/>
      <c r="DR3" s="26"/>
      <c r="DS3" s="21"/>
      <c r="DT3" s="21"/>
      <c r="DU3" s="21"/>
    </row>
    <row r="4" spans="1:125" s="6" customFormat="1" ht="33" customHeight="1" x14ac:dyDescent="0.25">
      <c r="A4" s="24" t="s">
        <v>133</v>
      </c>
      <c r="B4" s="25">
        <v>7</v>
      </c>
      <c r="C4" s="31">
        <v>2</v>
      </c>
      <c r="D4" s="31">
        <v>6</v>
      </c>
      <c r="E4" s="31">
        <v>1</v>
      </c>
      <c r="F4" s="32">
        <v>5</v>
      </c>
      <c r="G4" s="38">
        <v>1</v>
      </c>
      <c r="H4" s="38">
        <v>0.25</v>
      </c>
      <c r="I4" s="38">
        <v>0.25</v>
      </c>
      <c r="J4" s="38">
        <v>1.25</v>
      </c>
      <c r="K4" s="38">
        <v>2.25</v>
      </c>
      <c r="L4" s="51">
        <f t="shared" si="49"/>
        <v>1.75</v>
      </c>
      <c r="M4" s="34">
        <v>5</v>
      </c>
      <c r="N4" s="34">
        <v>1</v>
      </c>
      <c r="O4" s="34">
        <v>1</v>
      </c>
      <c r="P4" s="35">
        <v>200</v>
      </c>
      <c r="Q4" s="35">
        <v>10</v>
      </c>
      <c r="R4" s="30">
        <v>1</v>
      </c>
      <c r="S4" s="34">
        <v>1</v>
      </c>
      <c r="T4" s="34">
        <v>1</v>
      </c>
      <c r="U4" s="34">
        <v>1</v>
      </c>
      <c r="V4" s="34">
        <f t="shared" si="0"/>
        <v>6</v>
      </c>
      <c r="W4" s="34">
        <f t="shared" si="1"/>
        <v>1</v>
      </c>
      <c r="X4" s="34">
        <v>9</v>
      </c>
      <c r="Y4" s="36">
        <v>1</v>
      </c>
      <c r="Z4" s="36">
        <v>1</v>
      </c>
      <c r="AA4" s="36">
        <v>1</v>
      </c>
      <c r="AB4" s="36">
        <f t="shared" si="2"/>
        <v>7</v>
      </c>
      <c r="AC4" s="36">
        <f t="shared" si="3"/>
        <v>1</v>
      </c>
      <c r="AD4" s="36">
        <v>8</v>
      </c>
      <c r="AE4" s="25">
        <v>100</v>
      </c>
      <c r="AF4" s="25">
        <v>45</v>
      </c>
      <c r="AG4" s="37">
        <v>0.1</v>
      </c>
      <c r="AH4" s="37">
        <v>0</v>
      </c>
      <c r="AI4" s="37">
        <v>20</v>
      </c>
      <c r="AJ4" s="37">
        <v>3</v>
      </c>
      <c r="AK4" s="36">
        <v>5</v>
      </c>
      <c r="AL4" s="30">
        <v>5000</v>
      </c>
      <c r="AM4" s="30">
        <v>30</v>
      </c>
      <c r="AN4" s="30">
        <v>30</v>
      </c>
      <c r="AO4" s="30">
        <v>30</v>
      </c>
      <c r="AP4" s="30">
        <v>2</v>
      </c>
      <c r="AQ4" s="30">
        <v>10</v>
      </c>
      <c r="AR4" s="30">
        <v>150000</v>
      </c>
      <c r="AS4" s="30">
        <v>0.25</v>
      </c>
      <c r="AT4" s="30">
        <v>150000</v>
      </c>
      <c r="AU4" s="30">
        <v>0.2</v>
      </c>
      <c r="AV4" s="30">
        <v>150000</v>
      </c>
      <c r="AW4" s="30">
        <v>0.2</v>
      </c>
      <c r="AX4" s="30">
        <v>150000</v>
      </c>
      <c r="AY4" s="30">
        <v>0.2</v>
      </c>
      <c r="AZ4" s="30">
        <v>150000</v>
      </c>
      <c r="BA4" s="30">
        <v>0.2</v>
      </c>
      <c r="BB4" s="30">
        <v>150000</v>
      </c>
      <c r="BC4" s="30">
        <v>0.2</v>
      </c>
      <c r="BD4" s="30">
        <v>40000</v>
      </c>
      <c r="BE4" s="30">
        <v>4</v>
      </c>
      <c r="BF4" s="30">
        <v>150000</v>
      </c>
      <c r="BG4" s="30">
        <v>0.25</v>
      </c>
      <c r="BH4" s="33">
        <v>20000</v>
      </c>
      <c r="BI4" s="10">
        <f t="shared" si="4"/>
        <v>405000</v>
      </c>
      <c r="BJ4" s="10">
        <f t="shared" si="5"/>
        <v>5</v>
      </c>
      <c r="BK4" s="10">
        <f t="shared" si="6"/>
        <v>25000</v>
      </c>
      <c r="BL4" s="19">
        <f t="shared" si="7"/>
        <v>0.96875</v>
      </c>
      <c r="BM4" s="19">
        <f t="shared" si="8"/>
        <v>15</v>
      </c>
      <c r="BN4" s="12">
        <f t="shared" si="9"/>
        <v>2000</v>
      </c>
      <c r="BO4" s="19">
        <f t="shared" si="10"/>
        <v>0</v>
      </c>
      <c r="BP4" s="19">
        <f t="shared" si="11"/>
        <v>0</v>
      </c>
      <c r="BQ4" s="53">
        <f t="shared" si="50"/>
        <v>0.49639711769415529</v>
      </c>
      <c r="BR4" s="53">
        <f t="shared" si="12"/>
        <v>0.7045545526743513</v>
      </c>
      <c r="BS4" s="13">
        <f t="shared" si="13"/>
        <v>0.05</v>
      </c>
      <c r="BT4" s="55">
        <f t="shared" si="51"/>
        <v>5.2493438320209973E-2</v>
      </c>
      <c r="BU4" s="55">
        <f t="shared" si="52"/>
        <v>2.0422977461124794</v>
      </c>
      <c r="BV4" s="53">
        <f t="shared" si="14"/>
        <v>0.5956765412329863</v>
      </c>
      <c r="BW4" s="53">
        <f t="shared" si="15"/>
        <v>0.77180084298540796</v>
      </c>
      <c r="BX4" s="13">
        <f t="shared" si="16"/>
        <v>10</v>
      </c>
      <c r="BY4" s="13">
        <f t="shared" si="17"/>
        <v>0.9</v>
      </c>
      <c r="BZ4" s="55">
        <f t="shared" si="53"/>
        <v>0.90909090909090917</v>
      </c>
      <c r="CA4" s="55">
        <f t="shared" si="54"/>
        <v>0.17996765351871488</v>
      </c>
      <c r="CB4" s="53">
        <f t="shared" si="18"/>
        <v>0.63219227967953384</v>
      </c>
      <c r="CC4" s="53">
        <f t="shared" si="19"/>
        <v>0.7951052003851653</v>
      </c>
      <c r="CD4" s="13">
        <f t="shared" si="20"/>
        <v>9</v>
      </c>
      <c r="CE4" s="13">
        <f t="shared" si="21"/>
        <v>0.88888888888888884</v>
      </c>
      <c r="CF4" s="55">
        <f t="shared" si="55"/>
        <v>0.9</v>
      </c>
      <c r="CG4" s="55">
        <f t="shared" si="56"/>
        <v>0.19499814659165199</v>
      </c>
      <c r="CH4" s="57">
        <f t="shared" si="22"/>
        <v>1.4162487559342711</v>
      </c>
      <c r="CI4" s="14">
        <f t="shared" si="23"/>
        <v>0</v>
      </c>
      <c r="CJ4" s="14">
        <f t="shared" si="57"/>
        <v>0</v>
      </c>
      <c r="CK4" s="10">
        <f t="shared" si="24"/>
        <v>30000</v>
      </c>
      <c r="CL4" s="10">
        <f t="shared" si="25"/>
        <v>10000</v>
      </c>
      <c r="CM4" s="11">
        <f t="shared" si="26"/>
        <v>4000</v>
      </c>
      <c r="CN4" s="11">
        <f t="shared" si="27"/>
        <v>44000</v>
      </c>
      <c r="CO4" s="11">
        <f t="shared" si="28"/>
        <v>2000</v>
      </c>
      <c r="CP4" s="11">
        <f t="shared" si="29"/>
        <v>1000</v>
      </c>
      <c r="CQ4" s="11">
        <f t="shared" si="30"/>
        <v>30000</v>
      </c>
      <c r="CR4" s="11">
        <f t="shared" si="31"/>
        <v>30000</v>
      </c>
      <c r="CS4" s="11">
        <f t="shared" si="32"/>
        <v>6000</v>
      </c>
      <c r="CT4" s="11">
        <f t="shared" si="33"/>
        <v>68000</v>
      </c>
      <c r="CU4" s="11">
        <f t="shared" si="34"/>
        <v>0</v>
      </c>
      <c r="CV4" s="11">
        <f t="shared" si="35"/>
        <v>0</v>
      </c>
      <c r="CW4" s="11">
        <f t="shared" si="36"/>
        <v>0</v>
      </c>
      <c r="CX4" s="11">
        <f t="shared" si="37"/>
        <v>0</v>
      </c>
      <c r="CY4" s="11">
        <f t="shared" si="38"/>
        <v>0</v>
      </c>
      <c r="CZ4" s="11">
        <f t="shared" si="39"/>
        <v>0</v>
      </c>
      <c r="DA4" s="11">
        <f t="shared" si="40"/>
        <v>0</v>
      </c>
      <c r="DB4" s="11">
        <f t="shared" si="41"/>
        <v>0</v>
      </c>
      <c r="DC4" s="27">
        <f t="shared" si="42"/>
        <v>137000</v>
      </c>
      <c r="DD4" s="28">
        <f t="shared" si="43"/>
        <v>542000</v>
      </c>
      <c r="DE4" s="28">
        <f t="shared" si="44"/>
        <v>677500</v>
      </c>
      <c r="DF4" s="28">
        <f t="shared" si="45"/>
        <v>3387500</v>
      </c>
      <c r="DG4" s="15">
        <f t="shared" si="46"/>
        <v>1.4162487559342711</v>
      </c>
      <c r="DH4" s="48">
        <f t="shared" si="47"/>
        <v>0.28324975118685425</v>
      </c>
      <c r="DI4" s="17">
        <f t="shared" si="48"/>
        <v>2391882.0657782918</v>
      </c>
      <c r="DP4" s="21"/>
      <c r="DQ4" s="21"/>
      <c r="DR4" s="26"/>
      <c r="DS4" s="21"/>
      <c r="DT4" s="21"/>
      <c r="DU4" s="21"/>
    </row>
    <row r="5" spans="1:125" s="6" customFormat="1" ht="33" customHeight="1" x14ac:dyDescent="0.25">
      <c r="A5" s="24" t="s">
        <v>133</v>
      </c>
      <c r="B5" s="25">
        <v>8</v>
      </c>
      <c r="C5" s="31">
        <v>2</v>
      </c>
      <c r="D5" s="31" t="s">
        <v>113</v>
      </c>
      <c r="E5" s="31">
        <v>1</v>
      </c>
      <c r="F5" s="32">
        <v>4</v>
      </c>
      <c r="G5" s="38">
        <v>1</v>
      </c>
      <c r="H5" s="38">
        <v>0.25</v>
      </c>
      <c r="I5" s="38">
        <v>0.25</v>
      </c>
      <c r="J5" s="38">
        <v>1.25</v>
      </c>
      <c r="K5" s="38">
        <v>2.25</v>
      </c>
      <c r="L5" s="51">
        <f t="shared" si="49"/>
        <v>1.75</v>
      </c>
      <c r="M5" s="34">
        <v>5</v>
      </c>
      <c r="N5" s="34">
        <v>1</v>
      </c>
      <c r="O5" s="34">
        <v>1</v>
      </c>
      <c r="P5" s="35">
        <v>200</v>
      </c>
      <c r="Q5" s="35">
        <v>10</v>
      </c>
      <c r="R5" s="30">
        <v>1</v>
      </c>
      <c r="S5" s="34">
        <v>1</v>
      </c>
      <c r="T5" s="34">
        <v>1</v>
      </c>
      <c r="U5" s="34">
        <v>1</v>
      </c>
      <c r="V5" s="34">
        <f t="shared" si="0"/>
        <v>6</v>
      </c>
      <c r="W5" s="34">
        <f t="shared" si="1"/>
        <v>1</v>
      </c>
      <c r="X5" s="34">
        <v>9</v>
      </c>
      <c r="Y5" s="36">
        <v>1</v>
      </c>
      <c r="Z5" s="36">
        <v>1</v>
      </c>
      <c r="AA5" s="36">
        <v>1</v>
      </c>
      <c r="AB5" s="36">
        <f t="shared" si="2"/>
        <v>7</v>
      </c>
      <c r="AC5" s="36">
        <f t="shared" si="3"/>
        <v>1</v>
      </c>
      <c r="AD5" s="36">
        <v>8</v>
      </c>
      <c r="AE5" s="25">
        <v>100</v>
      </c>
      <c r="AF5" s="25">
        <v>45</v>
      </c>
      <c r="AG5" s="37">
        <v>0.1</v>
      </c>
      <c r="AH5" s="37">
        <v>0</v>
      </c>
      <c r="AI5" s="37">
        <v>20</v>
      </c>
      <c r="AJ5" s="37">
        <v>3</v>
      </c>
      <c r="AK5" s="36">
        <v>5</v>
      </c>
      <c r="AL5" s="30">
        <v>5000</v>
      </c>
      <c r="AM5" s="30">
        <v>30</v>
      </c>
      <c r="AN5" s="30">
        <v>30</v>
      </c>
      <c r="AO5" s="30">
        <v>30</v>
      </c>
      <c r="AP5" s="30">
        <v>2</v>
      </c>
      <c r="AQ5" s="30">
        <v>10</v>
      </c>
      <c r="AR5" s="30">
        <v>150000</v>
      </c>
      <c r="AS5" s="30">
        <v>0.25</v>
      </c>
      <c r="AT5" s="30">
        <v>150000</v>
      </c>
      <c r="AU5" s="30">
        <v>0.2</v>
      </c>
      <c r="AV5" s="30">
        <v>150000</v>
      </c>
      <c r="AW5" s="30">
        <v>0.2</v>
      </c>
      <c r="AX5" s="30">
        <v>150000</v>
      </c>
      <c r="AY5" s="30">
        <v>0.2</v>
      </c>
      <c r="AZ5" s="30">
        <v>150000</v>
      </c>
      <c r="BA5" s="30">
        <v>0.2</v>
      </c>
      <c r="BB5" s="30">
        <v>150000</v>
      </c>
      <c r="BC5" s="30">
        <v>0.2</v>
      </c>
      <c r="BD5" s="30">
        <v>40000</v>
      </c>
      <c r="BE5" s="30">
        <v>4</v>
      </c>
      <c r="BF5" s="30">
        <v>150000</v>
      </c>
      <c r="BG5" s="30">
        <v>0.25</v>
      </c>
      <c r="BH5" s="33">
        <v>20000</v>
      </c>
      <c r="BI5" s="10">
        <f t="shared" si="4"/>
        <v>405000</v>
      </c>
      <c r="BJ5" s="10">
        <f t="shared" si="5"/>
        <v>5</v>
      </c>
      <c r="BK5" s="10">
        <f t="shared" si="6"/>
        <v>25000</v>
      </c>
      <c r="BL5" s="19">
        <f t="shared" si="7"/>
        <v>1</v>
      </c>
      <c r="BM5" s="19">
        <f t="shared" si="8"/>
        <v>20</v>
      </c>
      <c r="BN5" s="12">
        <f t="shared" si="9"/>
        <v>2000</v>
      </c>
      <c r="BO5" s="19">
        <f t="shared" si="10"/>
        <v>0</v>
      </c>
      <c r="BP5" s="19">
        <f t="shared" si="11"/>
        <v>0</v>
      </c>
      <c r="BQ5" s="53">
        <f t="shared" si="50"/>
        <v>0.5</v>
      </c>
      <c r="BR5" s="53">
        <f t="shared" si="12"/>
        <v>0.70710678118654757</v>
      </c>
      <c r="BS5" s="13">
        <f t="shared" si="13"/>
        <v>0.05</v>
      </c>
      <c r="BT5" s="55">
        <f t="shared" si="51"/>
        <v>5.2493438320209973E-2</v>
      </c>
      <c r="BU5" s="55">
        <f t="shared" si="52"/>
        <v>2.0422977461124794</v>
      </c>
      <c r="BV5" s="53">
        <f t="shared" si="14"/>
        <v>0.6</v>
      </c>
      <c r="BW5" s="53">
        <f t="shared" si="15"/>
        <v>0.7745966692414834</v>
      </c>
      <c r="BX5" s="13">
        <f t="shared" si="16"/>
        <v>10</v>
      </c>
      <c r="BY5" s="13">
        <f t="shared" si="17"/>
        <v>0.9</v>
      </c>
      <c r="BZ5" s="55">
        <f t="shared" si="53"/>
        <v>0.90909090909090917</v>
      </c>
      <c r="CA5" s="55">
        <f t="shared" si="54"/>
        <v>0.17996765351871488</v>
      </c>
      <c r="CB5" s="53">
        <f t="shared" si="18"/>
        <v>0.63636363636363635</v>
      </c>
      <c r="CC5" s="53">
        <f t="shared" si="19"/>
        <v>0.7977240352174656</v>
      </c>
      <c r="CD5" s="13">
        <f t="shared" si="20"/>
        <v>9</v>
      </c>
      <c r="CE5" s="13">
        <f t="shared" si="21"/>
        <v>0.88888888888888884</v>
      </c>
      <c r="CF5" s="55">
        <f t="shared" si="55"/>
        <v>0.9</v>
      </c>
      <c r="CG5" s="55">
        <f t="shared" si="56"/>
        <v>0.19499814659165199</v>
      </c>
      <c r="CH5" s="57">
        <f t="shared" si="22"/>
        <v>1.4441225854781363</v>
      </c>
      <c r="CI5" s="14">
        <f t="shared" si="23"/>
        <v>0</v>
      </c>
      <c r="CJ5" s="14">
        <f t="shared" si="57"/>
        <v>0</v>
      </c>
      <c r="CK5" s="10">
        <f t="shared" si="24"/>
        <v>40000</v>
      </c>
      <c r="CL5" s="10">
        <f t="shared" si="25"/>
        <v>10000</v>
      </c>
      <c r="CM5" s="11">
        <f t="shared" si="26"/>
        <v>4000</v>
      </c>
      <c r="CN5" s="11">
        <f t="shared" si="27"/>
        <v>54000</v>
      </c>
      <c r="CO5" s="11">
        <f t="shared" si="28"/>
        <v>2000</v>
      </c>
      <c r="CP5" s="11">
        <f t="shared" si="29"/>
        <v>1000</v>
      </c>
      <c r="CQ5" s="11">
        <f t="shared" si="30"/>
        <v>30000</v>
      </c>
      <c r="CR5" s="11">
        <f t="shared" si="31"/>
        <v>30000</v>
      </c>
      <c r="CS5" s="11">
        <f t="shared" si="32"/>
        <v>6000</v>
      </c>
      <c r="CT5" s="11">
        <f t="shared" si="33"/>
        <v>68000</v>
      </c>
      <c r="CU5" s="11">
        <f t="shared" si="34"/>
        <v>0</v>
      </c>
      <c r="CV5" s="11">
        <f t="shared" si="35"/>
        <v>0</v>
      </c>
      <c r="CW5" s="11">
        <f t="shared" si="36"/>
        <v>0</v>
      </c>
      <c r="CX5" s="11">
        <f t="shared" si="37"/>
        <v>0</v>
      </c>
      <c r="CY5" s="11">
        <f t="shared" si="38"/>
        <v>0</v>
      </c>
      <c r="CZ5" s="11">
        <f t="shared" si="39"/>
        <v>0</v>
      </c>
      <c r="DA5" s="11">
        <f t="shared" si="40"/>
        <v>0</v>
      </c>
      <c r="DB5" s="11">
        <f t="shared" si="41"/>
        <v>0</v>
      </c>
      <c r="DC5" s="27">
        <f t="shared" si="42"/>
        <v>147000</v>
      </c>
      <c r="DD5" s="28">
        <f t="shared" si="43"/>
        <v>552000</v>
      </c>
      <c r="DE5" s="28">
        <f t="shared" si="44"/>
        <v>690000</v>
      </c>
      <c r="DF5" s="28">
        <f t="shared" si="45"/>
        <v>2760000</v>
      </c>
      <c r="DG5" s="15">
        <f t="shared" si="46"/>
        <v>1.4441225854781363</v>
      </c>
      <c r="DH5" s="48">
        <f t="shared" si="47"/>
        <v>0.36103064636953408</v>
      </c>
      <c r="DI5" s="17">
        <f t="shared" si="48"/>
        <v>1911195.0936534852</v>
      </c>
      <c r="DP5" s="21"/>
      <c r="DQ5" s="21"/>
      <c r="DR5" s="21"/>
      <c r="DS5" s="21"/>
      <c r="DT5" s="21"/>
      <c r="DU5" s="21"/>
    </row>
    <row r="6" spans="1:125" ht="33" customHeight="1" x14ac:dyDescent="0.25">
      <c r="A6" s="24" t="s">
        <v>133</v>
      </c>
      <c r="B6" s="25">
        <v>9</v>
      </c>
      <c r="C6" s="31">
        <v>3</v>
      </c>
      <c r="D6" s="31">
        <v>4</v>
      </c>
      <c r="E6" s="31">
        <v>1</v>
      </c>
      <c r="F6" s="32">
        <v>3</v>
      </c>
      <c r="G6" s="38">
        <v>1</v>
      </c>
      <c r="H6" s="38">
        <v>0.25</v>
      </c>
      <c r="I6" s="38">
        <v>0.25</v>
      </c>
      <c r="J6" s="38">
        <v>1.25</v>
      </c>
      <c r="K6" s="38">
        <v>2.25</v>
      </c>
      <c r="L6" s="51">
        <f t="shared" si="49"/>
        <v>1.75</v>
      </c>
      <c r="M6" s="34">
        <v>5</v>
      </c>
      <c r="N6" s="34">
        <v>1</v>
      </c>
      <c r="O6" s="34">
        <v>1</v>
      </c>
      <c r="P6" s="35">
        <v>200</v>
      </c>
      <c r="Q6" s="35">
        <v>10</v>
      </c>
      <c r="R6" s="30">
        <v>1</v>
      </c>
      <c r="S6" s="34">
        <v>1</v>
      </c>
      <c r="T6" s="34">
        <v>1</v>
      </c>
      <c r="U6" s="34">
        <v>1</v>
      </c>
      <c r="V6" s="34">
        <f t="shared" si="0"/>
        <v>6</v>
      </c>
      <c r="W6" s="34">
        <f t="shared" si="1"/>
        <v>1</v>
      </c>
      <c r="X6" s="34">
        <v>9</v>
      </c>
      <c r="Y6" s="36">
        <v>1</v>
      </c>
      <c r="Z6" s="36">
        <v>1</v>
      </c>
      <c r="AA6" s="36">
        <v>1</v>
      </c>
      <c r="AB6" s="36">
        <f t="shared" si="2"/>
        <v>7</v>
      </c>
      <c r="AC6" s="36">
        <f t="shared" si="3"/>
        <v>1</v>
      </c>
      <c r="AD6" s="36">
        <v>8</v>
      </c>
      <c r="AE6" s="25">
        <v>100</v>
      </c>
      <c r="AF6" s="25">
        <v>45</v>
      </c>
      <c r="AG6" s="37">
        <v>0.1</v>
      </c>
      <c r="AH6" s="37">
        <v>0</v>
      </c>
      <c r="AI6" s="37">
        <v>20</v>
      </c>
      <c r="AJ6" s="37">
        <v>3</v>
      </c>
      <c r="AK6" s="36">
        <v>5</v>
      </c>
      <c r="AL6" s="30">
        <v>5000</v>
      </c>
      <c r="AM6" s="30">
        <v>30</v>
      </c>
      <c r="AN6" s="30">
        <v>30</v>
      </c>
      <c r="AO6" s="30">
        <v>30</v>
      </c>
      <c r="AP6" s="30">
        <v>2</v>
      </c>
      <c r="AQ6" s="30">
        <v>10</v>
      </c>
      <c r="AR6" s="30">
        <v>150000</v>
      </c>
      <c r="AS6" s="30">
        <v>0.25</v>
      </c>
      <c r="AT6" s="30">
        <v>150000</v>
      </c>
      <c r="AU6" s="30">
        <v>0.2</v>
      </c>
      <c r="AV6" s="30">
        <v>150000</v>
      </c>
      <c r="AW6" s="30">
        <v>0.2</v>
      </c>
      <c r="AX6" s="30">
        <v>150000</v>
      </c>
      <c r="AY6" s="30">
        <v>0.2</v>
      </c>
      <c r="AZ6" s="30">
        <v>150000</v>
      </c>
      <c r="BA6" s="30">
        <v>0.2</v>
      </c>
      <c r="BB6" s="30">
        <v>150000</v>
      </c>
      <c r="BC6" s="30">
        <v>0.2</v>
      </c>
      <c r="BD6" s="30">
        <v>40000</v>
      </c>
      <c r="BE6" s="30">
        <v>4</v>
      </c>
      <c r="BF6" s="30">
        <v>150000</v>
      </c>
      <c r="BG6" s="30">
        <v>0.25</v>
      </c>
      <c r="BH6" s="33">
        <v>20000</v>
      </c>
      <c r="BI6" s="10">
        <f t="shared" si="4"/>
        <v>405000</v>
      </c>
      <c r="BJ6" s="10">
        <f t="shared" si="5"/>
        <v>5</v>
      </c>
      <c r="BK6" s="10">
        <f t="shared" si="6"/>
        <v>25000</v>
      </c>
      <c r="BL6" s="19">
        <f t="shared" si="7"/>
        <v>0.875</v>
      </c>
      <c r="BM6" s="19">
        <f t="shared" si="8"/>
        <v>9</v>
      </c>
      <c r="BN6" s="12">
        <f t="shared" si="9"/>
        <v>2000</v>
      </c>
      <c r="BO6" s="19">
        <f t="shared" si="10"/>
        <v>0</v>
      </c>
      <c r="BP6" s="19">
        <f t="shared" si="11"/>
        <v>0</v>
      </c>
      <c r="BQ6" s="53">
        <f t="shared" si="50"/>
        <v>0.48442906574394468</v>
      </c>
      <c r="BR6" s="53">
        <f t="shared" si="12"/>
        <v>0.69600938624701369</v>
      </c>
      <c r="BS6" s="13">
        <f t="shared" si="13"/>
        <v>0.05</v>
      </c>
      <c r="BT6" s="55">
        <f t="shared" si="51"/>
        <v>5.2493438320209973E-2</v>
      </c>
      <c r="BU6" s="55">
        <f t="shared" si="52"/>
        <v>2.0422977461124794</v>
      </c>
      <c r="BV6" s="53">
        <f t="shared" si="14"/>
        <v>0.58131487889273348</v>
      </c>
      <c r="BW6" s="53">
        <f t="shared" si="15"/>
        <v>0.76244008216563053</v>
      </c>
      <c r="BX6" s="13">
        <f t="shared" si="16"/>
        <v>10</v>
      </c>
      <c r="BY6" s="13">
        <f t="shared" si="17"/>
        <v>0.9</v>
      </c>
      <c r="BZ6" s="55">
        <f t="shared" si="53"/>
        <v>0.90909090909090917</v>
      </c>
      <c r="CA6" s="55">
        <f t="shared" si="54"/>
        <v>0.17996765351871488</v>
      </c>
      <c r="CB6" s="53">
        <f t="shared" si="18"/>
        <v>0.6182965299684543</v>
      </c>
      <c r="CC6" s="53">
        <f t="shared" si="19"/>
        <v>0.78631833882242264</v>
      </c>
      <c r="CD6" s="13">
        <f t="shared" si="20"/>
        <v>9</v>
      </c>
      <c r="CE6" s="13">
        <f t="shared" si="21"/>
        <v>0.88888888888888884</v>
      </c>
      <c r="CF6" s="55">
        <f t="shared" si="55"/>
        <v>0.9</v>
      </c>
      <c r="CG6" s="55">
        <f t="shared" si="56"/>
        <v>0.19499814659165199</v>
      </c>
      <c r="CH6" s="57">
        <f t="shared" si="22"/>
        <v>1.3296525813413553</v>
      </c>
      <c r="CI6" s="14">
        <f t="shared" si="23"/>
        <v>0</v>
      </c>
      <c r="CJ6" s="14">
        <f t="shared" si="57"/>
        <v>0</v>
      </c>
      <c r="CK6" s="10">
        <f t="shared" si="24"/>
        <v>18000</v>
      </c>
      <c r="CL6" s="10">
        <f t="shared" si="25"/>
        <v>10000</v>
      </c>
      <c r="CM6" s="11">
        <f t="shared" si="26"/>
        <v>4000</v>
      </c>
      <c r="CN6" s="11">
        <f t="shared" si="27"/>
        <v>32000</v>
      </c>
      <c r="CO6" s="11">
        <f t="shared" si="28"/>
        <v>2000</v>
      </c>
      <c r="CP6" s="11">
        <f t="shared" si="29"/>
        <v>1000</v>
      </c>
      <c r="CQ6" s="11">
        <f t="shared" si="30"/>
        <v>30000</v>
      </c>
      <c r="CR6" s="11">
        <f t="shared" si="31"/>
        <v>30000</v>
      </c>
      <c r="CS6" s="11">
        <f t="shared" si="32"/>
        <v>6000</v>
      </c>
      <c r="CT6" s="11">
        <f t="shared" si="33"/>
        <v>68000</v>
      </c>
      <c r="CU6" s="11">
        <f t="shared" si="34"/>
        <v>0</v>
      </c>
      <c r="CV6" s="11">
        <f t="shared" si="35"/>
        <v>0</v>
      </c>
      <c r="CW6" s="11">
        <f t="shared" si="36"/>
        <v>0</v>
      </c>
      <c r="CX6" s="11">
        <f t="shared" si="37"/>
        <v>0</v>
      </c>
      <c r="CY6" s="11">
        <f t="shared" si="38"/>
        <v>0</v>
      </c>
      <c r="CZ6" s="11">
        <f t="shared" si="39"/>
        <v>0</v>
      </c>
      <c r="DA6" s="11">
        <f t="shared" si="40"/>
        <v>0</v>
      </c>
      <c r="DB6" s="11">
        <f t="shared" si="41"/>
        <v>0</v>
      </c>
      <c r="DC6" s="27">
        <f t="shared" si="42"/>
        <v>125000</v>
      </c>
      <c r="DD6" s="28">
        <f t="shared" si="43"/>
        <v>530000</v>
      </c>
      <c r="DE6" s="28">
        <f t="shared" si="44"/>
        <v>662500</v>
      </c>
      <c r="DF6" s="28">
        <f t="shared" si="45"/>
        <v>1987500</v>
      </c>
      <c r="DG6" s="15">
        <f t="shared" si="46"/>
        <v>1.3296525813413553</v>
      </c>
      <c r="DH6" s="48">
        <f t="shared" si="47"/>
        <v>0.44321752711378509</v>
      </c>
      <c r="DI6" s="17">
        <f t="shared" si="48"/>
        <v>1494751.3567754724</v>
      </c>
      <c r="DN6" s="6"/>
      <c r="DO6" s="6"/>
      <c r="DP6" s="21"/>
      <c r="DQ6" s="21"/>
      <c r="DR6" s="26"/>
      <c r="DS6" s="21"/>
      <c r="DT6" s="21"/>
      <c r="DU6" s="21"/>
    </row>
    <row r="7" spans="1:125" ht="33" customHeight="1" x14ac:dyDescent="0.25">
      <c r="A7" s="24" t="s">
        <v>133</v>
      </c>
      <c r="B7" s="25">
        <v>10</v>
      </c>
      <c r="C7" s="31">
        <v>3</v>
      </c>
      <c r="D7" s="31">
        <v>5</v>
      </c>
      <c r="E7" s="31">
        <v>1</v>
      </c>
      <c r="F7" s="32">
        <v>4</v>
      </c>
      <c r="G7" s="38">
        <v>1</v>
      </c>
      <c r="H7" s="38">
        <v>0.25</v>
      </c>
      <c r="I7" s="38">
        <v>0.25</v>
      </c>
      <c r="J7" s="38">
        <v>1.25</v>
      </c>
      <c r="K7" s="38">
        <v>2.25</v>
      </c>
      <c r="L7" s="51">
        <f t="shared" si="49"/>
        <v>1.75</v>
      </c>
      <c r="M7" s="34">
        <v>5</v>
      </c>
      <c r="N7" s="34">
        <v>1</v>
      </c>
      <c r="O7" s="34">
        <v>1</v>
      </c>
      <c r="P7" s="35">
        <v>200</v>
      </c>
      <c r="Q7" s="35">
        <v>10</v>
      </c>
      <c r="R7" s="30">
        <v>1</v>
      </c>
      <c r="S7" s="34">
        <v>1</v>
      </c>
      <c r="T7" s="34">
        <v>1</v>
      </c>
      <c r="U7" s="34">
        <v>1</v>
      </c>
      <c r="V7" s="34">
        <f t="shared" si="0"/>
        <v>6</v>
      </c>
      <c r="W7" s="34">
        <f t="shared" si="1"/>
        <v>1</v>
      </c>
      <c r="X7" s="34">
        <v>9</v>
      </c>
      <c r="Y7" s="36">
        <v>1</v>
      </c>
      <c r="Z7" s="36">
        <v>1</v>
      </c>
      <c r="AA7" s="36">
        <v>1</v>
      </c>
      <c r="AB7" s="36">
        <f t="shared" si="2"/>
        <v>7</v>
      </c>
      <c r="AC7" s="36">
        <f t="shared" si="3"/>
        <v>1</v>
      </c>
      <c r="AD7" s="36">
        <v>8</v>
      </c>
      <c r="AE7" s="25">
        <v>100</v>
      </c>
      <c r="AF7" s="25">
        <v>45</v>
      </c>
      <c r="AG7" s="37">
        <v>0.1</v>
      </c>
      <c r="AH7" s="37">
        <v>0</v>
      </c>
      <c r="AI7" s="37">
        <v>20</v>
      </c>
      <c r="AJ7" s="37">
        <v>3</v>
      </c>
      <c r="AK7" s="36">
        <v>5</v>
      </c>
      <c r="AL7" s="30">
        <v>5000</v>
      </c>
      <c r="AM7" s="30">
        <v>30</v>
      </c>
      <c r="AN7" s="30">
        <v>30</v>
      </c>
      <c r="AO7" s="30">
        <v>30</v>
      </c>
      <c r="AP7" s="30">
        <v>2</v>
      </c>
      <c r="AQ7" s="30">
        <v>10</v>
      </c>
      <c r="AR7" s="30">
        <v>150000</v>
      </c>
      <c r="AS7" s="30">
        <v>0.25</v>
      </c>
      <c r="AT7" s="30">
        <v>150000</v>
      </c>
      <c r="AU7" s="30">
        <v>0.2</v>
      </c>
      <c r="AV7" s="30">
        <v>150000</v>
      </c>
      <c r="AW7" s="30">
        <v>0.2</v>
      </c>
      <c r="AX7" s="30">
        <v>150000</v>
      </c>
      <c r="AY7" s="30">
        <v>0.2</v>
      </c>
      <c r="AZ7" s="30">
        <v>150000</v>
      </c>
      <c r="BA7" s="30">
        <v>0.2</v>
      </c>
      <c r="BB7" s="30">
        <v>150000</v>
      </c>
      <c r="BC7" s="30">
        <v>0.2</v>
      </c>
      <c r="BD7" s="30">
        <v>40000</v>
      </c>
      <c r="BE7" s="30">
        <v>4</v>
      </c>
      <c r="BF7" s="30">
        <v>150000</v>
      </c>
      <c r="BG7" s="30">
        <v>0.25</v>
      </c>
      <c r="BH7" s="33">
        <v>20000</v>
      </c>
      <c r="BI7" s="10">
        <f t="shared" si="4"/>
        <v>405000</v>
      </c>
      <c r="BJ7" s="10">
        <f t="shared" si="5"/>
        <v>5</v>
      </c>
      <c r="BK7" s="10">
        <f t="shared" si="6"/>
        <v>25000</v>
      </c>
      <c r="BL7" s="19">
        <f t="shared" si="7"/>
        <v>0.9375</v>
      </c>
      <c r="BM7" s="19">
        <f t="shared" si="8"/>
        <v>12</v>
      </c>
      <c r="BN7" s="12">
        <f t="shared" si="9"/>
        <v>2000</v>
      </c>
      <c r="BO7" s="19">
        <f t="shared" si="10"/>
        <v>0</v>
      </c>
      <c r="BP7" s="19">
        <f t="shared" si="11"/>
        <v>0</v>
      </c>
      <c r="BQ7" s="53">
        <f t="shared" si="50"/>
        <v>0.49261083743842365</v>
      </c>
      <c r="BR7" s="53">
        <f t="shared" si="12"/>
        <v>0.70186240634359642</v>
      </c>
      <c r="BS7" s="13">
        <f t="shared" si="13"/>
        <v>0.05</v>
      </c>
      <c r="BT7" s="55">
        <f t="shared" si="51"/>
        <v>5.2493438320209973E-2</v>
      </c>
      <c r="BU7" s="55">
        <f t="shared" si="52"/>
        <v>2.0422977461124794</v>
      </c>
      <c r="BV7" s="53">
        <f t="shared" si="14"/>
        <v>0.59113300492610843</v>
      </c>
      <c r="BW7" s="53">
        <f t="shared" si="15"/>
        <v>0.76885174443848958</v>
      </c>
      <c r="BX7" s="13">
        <f t="shared" si="16"/>
        <v>10</v>
      </c>
      <c r="BY7" s="13">
        <f t="shared" si="17"/>
        <v>0.9</v>
      </c>
      <c r="BZ7" s="55">
        <f t="shared" si="53"/>
        <v>0.90909090909090917</v>
      </c>
      <c r="CA7" s="55">
        <f t="shared" si="54"/>
        <v>0.17996765351871488</v>
      </c>
      <c r="CB7" s="53">
        <f t="shared" si="18"/>
        <v>0.62780269058295968</v>
      </c>
      <c r="CC7" s="53">
        <f t="shared" si="19"/>
        <v>0.79234000945488026</v>
      </c>
      <c r="CD7" s="13">
        <f t="shared" si="20"/>
        <v>9</v>
      </c>
      <c r="CE7" s="13">
        <f t="shared" si="21"/>
        <v>0.88888888888888884</v>
      </c>
      <c r="CF7" s="55">
        <f t="shared" si="55"/>
        <v>0.9</v>
      </c>
      <c r="CG7" s="55">
        <f t="shared" si="56"/>
        <v>0.19499814659165199</v>
      </c>
      <c r="CH7" s="57">
        <f t="shared" si="22"/>
        <v>1.3878952112848584</v>
      </c>
      <c r="CI7" s="14">
        <f t="shared" si="23"/>
        <v>0</v>
      </c>
      <c r="CJ7" s="14">
        <f t="shared" si="57"/>
        <v>0</v>
      </c>
      <c r="CK7" s="10">
        <f t="shared" si="24"/>
        <v>24000</v>
      </c>
      <c r="CL7" s="10">
        <f t="shared" si="25"/>
        <v>10000</v>
      </c>
      <c r="CM7" s="11">
        <f t="shared" si="26"/>
        <v>4000</v>
      </c>
      <c r="CN7" s="11">
        <f t="shared" si="27"/>
        <v>38000</v>
      </c>
      <c r="CO7" s="11">
        <f t="shared" si="28"/>
        <v>2000</v>
      </c>
      <c r="CP7" s="11">
        <f t="shared" si="29"/>
        <v>1000</v>
      </c>
      <c r="CQ7" s="11">
        <f t="shared" si="30"/>
        <v>30000</v>
      </c>
      <c r="CR7" s="11">
        <f t="shared" si="31"/>
        <v>30000</v>
      </c>
      <c r="CS7" s="11">
        <f t="shared" si="32"/>
        <v>6000</v>
      </c>
      <c r="CT7" s="11">
        <f t="shared" si="33"/>
        <v>68000</v>
      </c>
      <c r="CU7" s="11">
        <f t="shared" si="34"/>
        <v>0</v>
      </c>
      <c r="CV7" s="11">
        <f t="shared" si="35"/>
        <v>0</v>
      </c>
      <c r="CW7" s="11">
        <f t="shared" si="36"/>
        <v>0</v>
      </c>
      <c r="CX7" s="11">
        <f t="shared" si="37"/>
        <v>0</v>
      </c>
      <c r="CY7" s="11">
        <f t="shared" si="38"/>
        <v>0</v>
      </c>
      <c r="CZ7" s="11">
        <f t="shared" si="39"/>
        <v>0</v>
      </c>
      <c r="DA7" s="11">
        <f t="shared" si="40"/>
        <v>0</v>
      </c>
      <c r="DB7" s="11">
        <f t="shared" si="41"/>
        <v>0</v>
      </c>
      <c r="DC7" s="27">
        <f t="shared" si="42"/>
        <v>131000</v>
      </c>
      <c r="DD7" s="28">
        <f t="shared" si="43"/>
        <v>536000</v>
      </c>
      <c r="DE7" s="28">
        <f t="shared" si="44"/>
        <v>670000</v>
      </c>
      <c r="DF7" s="28">
        <f t="shared" si="45"/>
        <v>2680000</v>
      </c>
      <c r="DG7" s="15">
        <f t="shared" si="46"/>
        <v>1.3878952112848584</v>
      </c>
      <c r="DH7" s="48">
        <f t="shared" si="47"/>
        <v>0.34697380282121459</v>
      </c>
      <c r="DI7" s="17">
        <f t="shared" si="48"/>
        <v>1930981.5166225426</v>
      </c>
      <c r="DN7" s="6"/>
      <c r="DO7" s="6"/>
      <c r="DP7" s="21"/>
      <c r="DQ7" s="21"/>
      <c r="DR7" s="21"/>
      <c r="DS7" s="21"/>
      <c r="DT7" s="21"/>
      <c r="DU7" s="21"/>
    </row>
    <row r="8" spans="1:125" ht="33" customHeight="1" x14ac:dyDescent="0.25">
      <c r="A8" s="24" t="s">
        <v>133</v>
      </c>
      <c r="B8" s="25">
        <v>11</v>
      </c>
      <c r="C8" s="31">
        <v>3</v>
      </c>
      <c r="D8" s="31">
        <v>6</v>
      </c>
      <c r="E8" s="31">
        <v>1</v>
      </c>
      <c r="F8" s="32">
        <v>4</v>
      </c>
      <c r="G8" s="38">
        <v>1</v>
      </c>
      <c r="H8" s="38">
        <v>0.25</v>
      </c>
      <c r="I8" s="38">
        <v>0.25</v>
      </c>
      <c r="J8" s="38">
        <v>1.25</v>
      </c>
      <c r="K8" s="38">
        <v>2.25</v>
      </c>
      <c r="L8" s="51">
        <f t="shared" si="49"/>
        <v>1.75</v>
      </c>
      <c r="M8" s="34">
        <v>5</v>
      </c>
      <c r="N8" s="34">
        <v>1</v>
      </c>
      <c r="O8" s="34">
        <v>1</v>
      </c>
      <c r="P8" s="35">
        <v>200</v>
      </c>
      <c r="Q8" s="35">
        <v>10</v>
      </c>
      <c r="R8" s="30">
        <v>1</v>
      </c>
      <c r="S8" s="34">
        <v>1</v>
      </c>
      <c r="T8" s="34">
        <v>1</v>
      </c>
      <c r="U8" s="34">
        <v>1</v>
      </c>
      <c r="V8" s="34">
        <f t="shared" si="0"/>
        <v>6</v>
      </c>
      <c r="W8" s="34">
        <f t="shared" si="1"/>
        <v>1</v>
      </c>
      <c r="X8" s="34">
        <v>9</v>
      </c>
      <c r="Y8" s="36">
        <v>1</v>
      </c>
      <c r="Z8" s="36">
        <v>1</v>
      </c>
      <c r="AA8" s="36">
        <v>1</v>
      </c>
      <c r="AB8" s="36">
        <f t="shared" si="2"/>
        <v>7</v>
      </c>
      <c r="AC8" s="36">
        <f t="shared" si="3"/>
        <v>1</v>
      </c>
      <c r="AD8" s="36">
        <v>8</v>
      </c>
      <c r="AE8" s="25">
        <v>100</v>
      </c>
      <c r="AF8" s="25">
        <v>45</v>
      </c>
      <c r="AG8" s="37">
        <v>0.1</v>
      </c>
      <c r="AH8" s="37">
        <v>0</v>
      </c>
      <c r="AI8" s="37">
        <v>20</v>
      </c>
      <c r="AJ8" s="37">
        <v>3</v>
      </c>
      <c r="AK8" s="36">
        <v>5</v>
      </c>
      <c r="AL8" s="30">
        <v>5000</v>
      </c>
      <c r="AM8" s="30">
        <v>30</v>
      </c>
      <c r="AN8" s="30">
        <v>30</v>
      </c>
      <c r="AO8" s="30">
        <v>30</v>
      </c>
      <c r="AP8" s="30">
        <v>2</v>
      </c>
      <c r="AQ8" s="30">
        <v>10</v>
      </c>
      <c r="AR8" s="30">
        <v>150000</v>
      </c>
      <c r="AS8" s="30">
        <v>0.25</v>
      </c>
      <c r="AT8" s="30">
        <v>150000</v>
      </c>
      <c r="AU8" s="30">
        <v>0.2</v>
      </c>
      <c r="AV8" s="30">
        <v>150000</v>
      </c>
      <c r="AW8" s="30">
        <v>0.2</v>
      </c>
      <c r="AX8" s="30">
        <v>150000</v>
      </c>
      <c r="AY8" s="30">
        <v>0.2</v>
      </c>
      <c r="AZ8" s="30">
        <v>150000</v>
      </c>
      <c r="BA8" s="30">
        <v>0.2</v>
      </c>
      <c r="BB8" s="30">
        <v>150000</v>
      </c>
      <c r="BC8" s="30">
        <v>0.2</v>
      </c>
      <c r="BD8" s="30">
        <v>40000</v>
      </c>
      <c r="BE8" s="30">
        <v>4</v>
      </c>
      <c r="BF8" s="30">
        <v>150000</v>
      </c>
      <c r="BG8" s="30">
        <v>0.25</v>
      </c>
      <c r="BH8" s="33">
        <v>20000</v>
      </c>
      <c r="BI8" s="10">
        <f t="shared" si="4"/>
        <v>405000</v>
      </c>
      <c r="BJ8" s="10">
        <f t="shared" si="5"/>
        <v>5</v>
      </c>
      <c r="BK8" s="10">
        <f t="shared" si="6"/>
        <v>25000</v>
      </c>
      <c r="BL8" s="19">
        <f t="shared" si="7"/>
        <v>0.96875</v>
      </c>
      <c r="BM8" s="19">
        <f t="shared" si="8"/>
        <v>15</v>
      </c>
      <c r="BN8" s="12">
        <f t="shared" si="9"/>
        <v>2000</v>
      </c>
      <c r="BO8" s="19">
        <f t="shared" si="10"/>
        <v>0</v>
      </c>
      <c r="BP8" s="19">
        <f t="shared" si="11"/>
        <v>0</v>
      </c>
      <c r="BQ8" s="53">
        <f t="shared" si="50"/>
        <v>0.49639711769415529</v>
      </c>
      <c r="BR8" s="53">
        <f t="shared" si="12"/>
        <v>0.7045545526743513</v>
      </c>
      <c r="BS8" s="13">
        <f t="shared" si="13"/>
        <v>0.05</v>
      </c>
      <c r="BT8" s="55">
        <f t="shared" si="51"/>
        <v>5.2493438320209973E-2</v>
      </c>
      <c r="BU8" s="55">
        <f t="shared" si="52"/>
        <v>2.0422977461124794</v>
      </c>
      <c r="BV8" s="53">
        <f t="shared" si="14"/>
        <v>0.5956765412329863</v>
      </c>
      <c r="BW8" s="53">
        <f t="shared" si="15"/>
        <v>0.77180084298540796</v>
      </c>
      <c r="BX8" s="13">
        <f t="shared" si="16"/>
        <v>10</v>
      </c>
      <c r="BY8" s="13">
        <f t="shared" si="17"/>
        <v>0.9</v>
      </c>
      <c r="BZ8" s="55">
        <f t="shared" si="53"/>
        <v>0.90909090909090917</v>
      </c>
      <c r="CA8" s="55">
        <f t="shared" si="54"/>
        <v>0.17996765351871488</v>
      </c>
      <c r="CB8" s="53">
        <f t="shared" si="18"/>
        <v>0.63219227967953384</v>
      </c>
      <c r="CC8" s="53">
        <f t="shared" si="19"/>
        <v>0.7951052003851653</v>
      </c>
      <c r="CD8" s="13">
        <f t="shared" si="20"/>
        <v>9</v>
      </c>
      <c r="CE8" s="13">
        <f t="shared" si="21"/>
        <v>0.88888888888888884</v>
      </c>
      <c r="CF8" s="55">
        <f t="shared" si="55"/>
        <v>0.9</v>
      </c>
      <c r="CG8" s="55">
        <f t="shared" si="56"/>
        <v>0.19499814659165199</v>
      </c>
      <c r="CH8" s="57">
        <f t="shared" si="22"/>
        <v>1.4162487559342711</v>
      </c>
      <c r="CI8" s="14">
        <f t="shared" si="23"/>
        <v>0</v>
      </c>
      <c r="CJ8" s="14">
        <f t="shared" si="57"/>
        <v>0</v>
      </c>
      <c r="CK8" s="10">
        <f t="shared" si="24"/>
        <v>30000</v>
      </c>
      <c r="CL8" s="10">
        <f t="shared" si="25"/>
        <v>10000</v>
      </c>
      <c r="CM8" s="11">
        <f t="shared" si="26"/>
        <v>4000</v>
      </c>
      <c r="CN8" s="11">
        <f t="shared" si="27"/>
        <v>44000</v>
      </c>
      <c r="CO8" s="11">
        <f t="shared" si="28"/>
        <v>2000</v>
      </c>
      <c r="CP8" s="11">
        <f t="shared" si="29"/>
        <v>1000</v>
      </c>
      <c r="CQ8" s="11">
        <f t="shared" si="30"/>
        <v>30000</v>
      </c>
      <c r="CR8" s="11">
        <f t="shared" si="31"/>
        <v>30000</v>
      </c>
      <c r="CS8" s="11">
        <f t="shared" si="32"/>
        <v>6000</v>
      </c>
      <c r="CT8" s="11">
        <f t="shared" si="33"/>
        <v>68000</v>
      </c>
      <c r="CU8" s="11">
        <f t="shared" si="34"/>
        <v>0</v>
      </c>
      <c r="CV8" s="11">
        <f t="shared" si="35"/>
        <v>0</v>
      </c>
      <c r="CW8" s="11">
        <f t="shared" si="36"/>
        <v>0</v>
      </c>
      <c r="CX8" s="11">
        <f t="shared" si="37"/>
        <v>0</v>
      </c>
      <c r="CY8" s="11">
        <f t="shared" si="38"/>
        <v>0</v>
      </c>
      <c r="CZ8" s="11">
        <f t="shared" si="39"/>
        <v>0</v>
      </c>
      <c r="DA8" s="11">
        <f t="shared" si="40"/>
        <v>0</v>
      </c>
      <c r="DB8" s="11">
        <f t="shared" si="41"/>
        <v>0</v>
      </c>
      <c r="DC8" s="27">
        <f t="shared" si="42"/>
        <v>137000</v>
      </c>
      <c r="DD8" s="28">
        <f t="shared" si="43"/>
        <v>542000</v>
      </c>
      <c r="DE8" s="28">
        <f t="shared" si="44"/>
        <v>677500</v>
      </c>
      <c r="DF8" s="28">
        <f t="shared" si="45"/>
        <v>2710000</v>
      </c>
      <c r="DG8" s="15">
        <f t="shared" si="46"/>
        <v>1.4162487559342711</v>
      </c>
      <c r="DH8" s="48">
        <f t="shared" si="47"/>
        <v>0.35406218898356778</v>
      </c>
      <c r="DI8" s="17">
        <f t="shared" si="48"/>
        <v>1913505.6526226334</v>
      </c>
      <c r="DN8" s="6"/>
      <c r="DO8" s="6"/>
      <c r="DP8" s="21"/>
      <c r="DQ8" s="21"/>
      <c r="DR8" s="21"/>
      <c r="DS8" s="21"/>
      <c r="DT8" s="21"/>
      <c r="DU8" s="21"/>
    </row>
    <row r="9" spans="1:125" ht="33" customHeight="1" x14ac:dyDescent="0.25">
      <c r="A9" s="24" t="s">
        <v>133</v>
      </c>
      <c r="B9" s="25">
        <v>12</v>
      </c>
      <c r="C9" s="31">
        <v>3</v>
      </c>
      <c r="D9" s="31" t="s">
        <v>113</v>
      </c>
      <c r="E9" s="31">
        <v>1</v>
      </c>
      <c r="F9" s="32">
        <v>3</v>
      </c>
      <c r="G9" s="38">
        <v>1</v>
      </c>
      <c r="H9" s="38">
        <v>0.25</v>
      </c>
      <c r="I9" s="38">
        <v>0.25</v>
      </c>
      <c r="J9" s="38">
        <v>1.25</v>
      </c>
      <c r="K9" s="38">
        <v>2.25</v>
      </c>
      <c r="L9" s="51">
        <f t="shared" si="49"/>
        <v>1.75</v>
      </c>
      <c r="M9" s="34">
        <v>5</v>
      </c>
      <c r="N9" s="34">
        <v>1</v>
      </c>
      <c r="O9" s="34">
        <v>1</v>
      </c>
      <c r="P9" s="35">
        <v>200</v>
      </c>
      <c r="Q9" s="35">
        <v>10</v>
      </c>
      <c r="R9" s="30">
        <v>1</v>
      </c>
      <c r="S9" s="34">
        <v>1</v>
      </c>
      <c r="T9" s="34">
        <v>1</v>
      </c>
      <c r="U9" s="34">
        <v>1</v>
      </c>
      <c r="V9" s="34">
        <f t="shared" si="0"/>
        <v>6</v>
      </c>
      <c r="W9" s="34">
        <f t="shared" si="1"/>
        <v>1</v>
      </c>
      <c r="X9" s="34">
        <v>9</v>
      </c>
      <c r="Y9" s="36">
        <v>1</v>
      </c>
      <c r="Z9" s="36">
        <v>1</v>
      </c>
      <c r="AA9" s="36">
        <v>1</v>
      </c>
      <c r="AB9" s="36">
        <f t="shared" si="2"/>
        <v>7</v>
      </c>
      <c r="AC9" s="36">
        <f t="shared" si="3"/>
        <v>1</v>
      </c>
      <c r="AD9" s="36">
        <v>8</v>
      </c>
      <c r="AE9" s="25">
        <v>100</v>
      </c>
      <c r="AF9" s="25">
        <v>45</v>
      </c>
      <c r="AG9" s="37">
        <v>0.1</v>
      </c>
      <c r="AH9" s="37">
        <v>0</v>
      </c>
      <c r="AI9" s="37">
        <v>20</v>
      </c>
      <c r="AJ9" s="37">
        <v>3</v>
      </c>
      <c r="AK9" s="36">
        <v>5</v>
      </c>
      <c r="AL9" s="30">
        <v>5000</v>
      </c>
      <c r="AM9" s="30">
        <v>30</v>
      </c>
      <c r="AN9" s="30">
        <v>30</v>
      </c>
      <c r="AO9" s="30">
        <v>30</v>
      </c>
      <c r="AP9" s="30">
        <v>2</v>
      </c>
      <c r="AQ9" s="30">
        <v>10</v>
      </c>
      <c r="AR9" s="30">
        <v>150000</v>
      </c>
      <c r="AS9" s="30">
        <v>0.25</v>
      </c>
      <c r="AT9" s="30">
        <v>150000</v>
      </c>
      <c r="AU9" s="30">
        <v>0.2</v>
      </c>
      <c r="AV9" s="30">
        <v>150000</v>
      </c>
      <c r="AW9" s="30">
        <v>0.2</v>
      </c>
      <c r="AX9" s="30">
        <v>150000</v>
      </c>
      <c r="AY9" s="30">
        <v>0.2</v>
      </c>
      <c r="AZ9" s="30">
        <v>150000</v>
      </c>
      <c r="BA9" s="30">
        <v>0.2</v>
      </c>
      <c r="BB9" s="30">
        <v>150000</v>
      </c>
      <c r="BC9" s="30">
        <v>0.2</v>
      </c>
      <c r="BD9" s="30">
        <v>40000</v>
      </c>
      <c r="BE9" s="30">
        <v>4</v>
      </c>
      <c r="BF9" s="30">
        <v>150000</v>
      </c>
      <c r="BG9" s="30">
        <v>0.25</v>
      </c>
      <c r="BH9" s="33">
        <v>20000</v>
      </c>
      <c r="BI9" s="10">
        <f t="shared" si="4"/>
        <v>405000</v>
      </c>
      <c r="BJ9" s="10">
        <f t="shared" si="5"/>
        <v>5</v>
      </c>
      <c r="BK9" s="10">
        <f t="shared" si="6"/>
        <v>25000</v>
      </c>
      <c r="BL9" s="19">
        <f t="shared" si="7"/>
        <v>1</v>
      </c>
      <c r="BM9" s="19">
        <f t="shared" si="8"/>
        <v>20</v>
      </c>
      <c r="BN9" s="12">
        <f t="shared" si="9"/>
        <v>2000</v>
      </c>
      <c r="BO9" s="19">
        <f t="shared" si="10"/>
        <v>0</v>
      </c>
      <c r="BP9" s="19">
        <f t="shared" si="11"/>
        <v>0</v>
      </c>
      <c r="BQ9" s="53">
        <f t="shared" si="50"/>
        <v>0.5</v>
      </c>
      <c r="BR9" s="53">
        <f t="shared" si="12"/>
        <v>0.70710678118654757</v>
      </c>
      <c r="BS9" s="13">
        <f t="shared" si="13"/>
        <v>0.05</v>
      </c>
      <c r="BT9" s="55">
        <f t="shared" si="51"/>
        <v>5.2493438320209973E-2</v>
      </c>
      <c r="BU9" s="55">
        <f t="shared" si="52"/>
        <v>2.0422977461124794</v>
      </c>
      <c r="BV9" s="53">
        <f t="shared" si="14"/>
        <v>0.6</v>
      </c>
      <c r="BW9" s="53">
        <f t="shared" si="15"/>
        <v>0.7745966692414834</v>
      </c>
      <c r="BX9" s="13">
        <f t="shared" si="16"/>
        <v>10</v>
      </c>
      <c r="BY9" s="13">
        <f t="shared" si="17"/>
        <v>0.9</v>
      </c>
      <c r="BZ9" s="55">
        <f t="shared" si="53"/>
        <v>0.90909090909090917</v>
      </c>
      <c r="CA9" s="55">
        <f t="shared" si="54"/>
        <v>0.17996765351871488</v>
      </c>
      <c r="CB9" s="53">
        <f t="shared" si="18"/>
        <v>0.63636363636363635</v>
      </c>
      <c r="CC9" s="53">
        <f t="shared" si="19"/>
        <v>0.7977240352174656</v>
      </c>
      <c r="CD9" s="13">
        <f t="shared" si="20"/>
        <v>9</v>
      </c>
      <c r="CE9" s="13">
        <f t="shared" si="21"/>
        <v>0.88888888888888884</v>
      </c>
      <c r="CF9" s="55">
        <f t="shared" si="55"/>
        <v>0.9</v>
      </c>
      <c r="CG9" s="55">
        <f t="shared" si="56"/>
        <v>0.19499814659165199</v>
      </c>
      <c r="CH9" s="57">
        <f t="shared" si="22"/>
        <v>1.4441225854781363</v>
      </c>
      <c r="CI9" s="14">
        <f t="shared" si="23"/>
        <v>0</v>
      </c>
      <c r="CJ9" s="14">
        <f t="shared" si="57"/>
        <v>0</v>
      </c>
      <c r="CK9" s="10">
        <f t="shared" si="24"/>
        <v>40000</v>
      </c>
      <c r="CL9" s="10">
        <f t="shared" si="25"/>
        <v>10000</v>
      </c>
      <c r="CM9" s="11">
        <f t="shared" si="26"/>
        <v>4000</v>
      </c>
      <c r="CN9" s="11">
        <f t="shared" si="27"/>
        <v>54000</v>
      </c>
      <c r="CO9" s="11">
        <f t="shared" si="28"/>
        <v>2000</v>
      </c>
      <c r="CP9" s="11">
        <f t="shared" si="29"/>
        <v>1000</v>
      </c>
      <c r="CQ9" s="11">
        <f t="shared" si="30"/>
        <v>30000</v>
      </c>
      <c r="CR9" s="11">
        <f t="shared" si="31"/>
        <v>30000</v>
      </c>
      <c r="CS9" s="11">
        <f t="shared" si="32"/>
        <v>6000</v>
      </c>
      <c r="CT9" s="11">
        <f t="shared" si="33"/>
        <v>68000</v>
      </c>
      <c r="CU9" s="11">
        <f t="shared" si="34"/>
        <v>0</v>
      </c>
      <c r="CV9" s="11">
        <f t="shared" si="35"/>
        <v>0</v>
      </c>
      <c r="CW9" s="11">
        <f t="shared" si="36"/>
        <v>0</v>
      </c>
      <c r="CX9" s="11">
        <f t="shared" si="37"/>
        <v>0</v>
      </c>
      <c r="CY9" s="11">
        <f t="shared" si="38"/>
        <v>0</v>
      </c>
      <c r="CZ9" s="11">
        <f t="shared" si="39"/>
        <v>0</v>
      </c>
      <c r="DA9" s="11">
        <f t="shared" si="40"/>
        <v>0</v>
      </c>
      <c r="DB9" s="11">
        <f t="shared" si="41"/>
        <v>0</v>
      </c>
      <c r="DC9" s="27">
        <f t="shared" si="42"/>
        <v>147000</v>
      </c>
      <c r="DD9" s="28">
        <f t="shared" si="43"/>
        <v>552000</v>
      </c>
      <c r="DE9" s="28">
        <f t="shared" si="44"/>
        <v>690000</v>
      </c>
      <c r="DF9" s="28">
        <f t="shared" si="45"/>
        <v>2070000</v>
      </c>
      <c r="DG9" s="15">
        <f t="shared" si="46"/>
        <v>1.4441225854781363</v>
      </c>
      <c r="DH9" s="48">
        <f t="shared" si="47"/>
        <v>0.48137419515937879</v>
      </c>
      <c r="DI9" s="17">
        <f>DF9/DG9</f>
        <v>1433396.3202401139</v>
      </c>
    </row>
    <row r="10" spans="1:125" ht="33" customHeight="1" x14ac:dyDescent="0.25">
      <c r="A10" s="24" t="s">
        <v>133</v>
      </c>
      <c r="B10" s="25">
        <v>17</v>
      </c>
      <c r="C10" s="31">
        <v>2</v>
      </c>
      <c r="D10" s="31">
        <v>4</v>
      </c>
      <c r="E10" s="31">
        <v>2</v>
      </c>
      <c r="F10" s="32">
        <v>5</v>
      </c>
      <c r="G10" s="38">
        <v>1</v>
      </c>
      <c r="H10" s="38">
        <v>0.25</v>
      </c>
      <c r="I10" s="38">
        <v>0.25</v>
      </c>
      <c r="J10" s="38">
        <v>1.25</v>
      </c>
      <c r="K10" s="38">
        <v>2.25</v>
      </c>
      <c r="L10" s="51">
        <f t="shared" si="49"/>
        <v>1.75</v>
      </c>
      <c r="M10" s="34">
        <v>3</v>
      </c>
      <c r="N10" s="34">
        <v>1</v>
      </c>
      <c r="O10" s="34">
        <v>1</v>
      </c>
      <c r="P10" s="35">
        <v>200</v>
      </c>
      <c r="Q10" s="35">
        <v>20</v>
      </c>
      <c r="R10" s="30">
        <v>1</v>
      </c>
      <c r="S10" s="34">
        <v>10</v>
      </c>
      <c r="T10" s="34">
        <v>1</v>
      </c>
      <c r="U10" s="34">
        <v>2</v>
      </c>
      <c r="V10" s="34">
        <f t="shared" si="0"/>
        <v>13</v>
      </c>
      <c r="W10" s="34">
        <f t="shared" si="1"/>
        <v>1.625</v>
      </c>
      <c r="X10" s="34">
        <v>10</v>
      </c>
      <c r="Y10" s="36">
        <v>1</v>
      </c>
      <c r="Z10" s="36">
        <v>1</v>
      </c>
      <c r="AA10" s="36">
        <v>1</v>
      </c>
      <c r="AB10" s="36">
        <f t="shared" si="2"/>
        <v>14</v>
      </c>
      <c r="AC10" s="36">
        <f t="shared" si="3"/>
        <v>1.5555555555555556</v>
      </c>
      <c r="AD10" s="36">
        <v>9</v>
      </c>
      <c r="AE10" s="25">
        <v>100</v>
      </c>
      <c r="AF10" s="25">
        <v>45</v>
      </c>
      <c r="AG10" s="37">
        <v>0.1</v>
      </c>
      <c r="AH10" s="37">
        <v>0</v>
      </c>
      <c r="AI10" s="37">
        <v>20</v>
      </c>
      <c r="AJ10" s="37">
        <v>3</v>
      </c>
      <c r="AK10" s="36">
        <v>5</v>
      </c>
      <c r="AL10" s="30">
        <v>5000</v>
      </c>
      <c r="AM10" s="30">
        <v>30</v>
      </c>
      <c r="AN10" s="30">
        <v>30</v>
      </c>
      <c r="AO10" s="30">
        <v>30</v>
      </c>
      <c r="AP10" s="30">
        <v>2</v>
      </c>
      <c r="AQ10" s="30">
        <v>10</v>
      </c>
      <c r="AR10" s="30">
        <v>150000</v>
      </c>
      <c r="AS10" s="30">
        <v>0.25</v>
      </c>
      <c r="AT10" s="30">
        <v>150000</v>
      </c>
      <c r="AU10" s="30">
        <v>0.2</v>
      </c>
      <c r="AV10" s="30">
        <v>150000</v>
      </c>
      <c r="AW10" s="30">
        <v>0.2</v>
      </c>
      <c r="AX10" s="30">
        <v>150000</v>
      </c>
      <c r="AY10" s="30">
        <v>0.2</v>
      </c>
      <c r="AZ10" s="30">
        <v>150000</v>
      </c>
      <c r="BA10" s="30">
        <v>0.2</v>
      </c>
      <c r="BB10" s="30">
        <v>150000</v>
      </c>
      <c r="BC10" s="30">
        <v>0.2</v>
      </c>
      <c r="BD10" s="30">
        <v>40000</v>
      </c>
      <c r="BE10" s="30">
        <v>4</v>
      </c>
      <c r="BF10" s="30">
        <v>150000</v>
      </c>
      <c r="BG10" s="30">
        <v>0.25</v>
      </c>
      <c r="BH10" s="33">
        <v>20000</v>
      </c>
      <c r="BI10" s="10">
        <f t="shared" si="4"/>
        <v>405000</v>
      </c>
      <c r="BJ10" s="10">
        <f t="shared" si="5"/>
        <v>10</v>
      </c>
      <c r="BK10" s="10">
        <f t="shared" si="6"/>
        <v>50000</v>
      </c>
      <c r="BL10" s="19">
        <f t="shared" si="7"/>
        <v>0.875</v>
      </c>
      <c r="BM10" s="19">
        <f t="shared" si="8"/>
        <v>9</v>
      </c>
      <c r="BN10" s="12">
        <f t="shared" si="9"/>
        <v>2000</v>
      </c>
      <c r="BO10" s="19">
        <f t="shared" si="10"/>
        <v>1</v>
      </c>
      <c r="BP10" s="19">
        <f t="shared" si="11"/>
        <v>0</v>
      </c>
      <c r="BQ10" s="53">
        <f t="shared" si="50"/>
        <v>0.38356164383561642</v>
      </c>
      <c r="BR10" s="53">
        <f t="shared" si="12"/>
        <v>0.61932353728533229</v>
      </c>
      <c r="BS10" s="13">
        <f t="shared" si="13"/>
        <v>0.1</v>
      </c>
      <c r="BT10" s="55">
        <f t="shared" si="51"/>
        <v>0.10247438140464883</v>
      </c>
      <c r="BU10" s="55">
        <f t="shared" si="52"/>
        <v>1.7433824661333783</v>
      </c>
      <c r="BV10" s="53">
        <f t="shared" si="14"/>
        <v>0.79596299411269977</v>
      </c>
      <c r="BW10" s="53">
        <f t="shared" si="15"/>
        <v>0.8921675818548328</v>
      </c>
      <c r="BX10" s="13">
        <f t="shared" si="16"/>
        <v>20</v>
      </c>
      <c r="BY10" s="13">
        <f t="shared" si="17"/>
        <v>0.5</v>
      </c>
      <c r="BZ10" s="55">
        <f t="shared" si="53"/>
        <v>0.51851851851851849</v>
      </c>
      <c r="CA10" s="55">
        <f t="shared" si="54"/>
        <v>0.76855962325011251</v>
      </c>
      <c r="CB10" s="53">
        <f t="shared" si="18"/>
        <v>0.80445617121078861</v>
      </c>
      <c r="CC10" s="53">
        <f t="shared" si="19"/>
        <v>0.89691480710867333</v>
      </c>
      <c r="CD10" s="13">
        <f t="shared" si="20"/>
        <v>10</v>
      </c>
      <c r="CE10" s="13">
        <f t="shared" si="21"/>
        <v>0.9</v>
      </c>
      <c r="CF10" s="55">
        <f t="shared" si="55"/>
        <v>0.90909090909090917</v>
      </c>
      <c r="CG10" s="55">
        <f t="shared" si="56"/>
        <v>0.17996765351871488</v>
      </c>
      <c r="CH10" s="57">
        <f t="shared" si="22"/>
        <v>1.0099835165406714</v>
      </c>
      <c r="CI10" s="14">
        <f t="shared" si="23"/>
        <v>0.64139863273833553</v>
      </c>
      <c r="CJ10" s="14">
        <f t="shared" si="57"/>
        <v>0</v>
      </c>
      <c r="CK10" s="10">
        <f t="shared" si="24"/>
        <v>18000</v>
      </c>
      <c r="CL10" s="10">
        <f t="shared" si="25"/>
        <v>10000</v>
      </c>
      <c r="CM10" s="11">
        <f t="shared" si="26"/>
        <v>4000</v>
      </c>
      <c r="CN10" s="11">
        <f t="shared" si="27"/>
        <v>32000</v>
      </c>
      <c r="CO10" s="11">
        <f t="shared" si="28"/>
        <v>2000</v>
      </c>
      <c r="CP10" s="11">
        <f t="shared" si="29"/>
        <v>600</v>
      </c>
      <c r="CQ10" s="11">
        <f t="shared" si="30"/>
        <v>18000</v>
      </c>
      <c r="CR10" s="11">
        <f t="shared" si="31"/>
        <v>18000</v>
      </c>
      <c r="CS10" s="11">
        <f t="shared" si="32"/>
        <v>6000</v>
      </c>
      <c r="CT10" s="11">
        <f t="shared" si="33"/>
        <v>44000</v>
      </c>
      <c r="CU10" s="11">
        <f t="shared" si="34"/>
        <v>400</v>
      </c>
      <c r="CV10" s="11">
        <f t="shared" si="35"/>
        <v>12000</v>
      </c>
      <c r="CW10" s="11">
        <f t="shared" si="36"/>
        <v>6000</v>
      </c>
      <c r="CX10" s="11">
        <f t="shared" si="37"/>
        <v>18000</v>
      </c>
      <c r="CY10" s="11">
        <f t="shared" si="38"/>
        <v>0</v>
      </c>
      <c r="CZ10" s="11">
        <f t="shared" si="39"/>
        <v>0</v>
      </c>
      <c r="DA10" s="11">
        <f t="shared" si="40"/>
        <v>0</v>
      </c>
      <c r="DB10" s="11">
        <f t="shared" si="41"/>
        <v>0</v>
      </c>
      <c r="DC10" s="27">
        <f t="shared" si="42"/>
        <v>144000</v>
      </c>
      <c r="DD10" s="28">
        <f t="shared" si="43"/>
        <v>549000</v>
      </c>
      <c r="DE10" s="28">
        <f t="shared" si="44"/>
        <v>686250</v>
      </c>
      <c r="DF10" s="28">
        <f t="shared" si="45"/>
        <v>3431250</v>
      </c>
      <c r="DG10" s="15">
        <f t="shared" si="46"/>
        <v>1.6513821492790068</v>
      </c>
      <c r="DH10" s="48">
        <f t="shared" si="47"/>
        <v>0.33027642985580136</v>
      </c>
      <c r="DI10" s="17">
        <f t="shared" si="48"/>
        <v>2077804.9475090203</v>
      </c>
    </row>
    <row r="11" spans="1:125" ht="33" customHeight="1" x14ac:dyDescent="0.25">
      <c r="A11" s="24" t="s">
        <v>133</v>
      </c>
      <c r="B11" s="25">
        <v>18</v>
      </c>
      <c r="C11" s="31">
        <v>2</v>
      </c>
      <c r="D11" s="31">
        <v>5</v>
      </c>
      <c r="E11" s="31">
        <v>2</v>
      </c>
      <c r="F11" s="32">
        <v>6</v>
      </c>
      <c r="G11" s="38">
        <v>1</v>
      </c>
      <c r="H11" s="38">
        <v>0.25</v>
      </c>
      <c r="I11" s="38">
        <v>0.25</v>
      </c>
      <c r="J11" s="38">
        <v>1.25</v>
      </c>
      <c r="K11" s="38">
        <v>2.25</v>
      </c>
      <c r="L11" s="51">
        <f t="shared" si="49"/>
        <v>1.75</v>
      </c>
      <c r="M11" s="34">
        <v>3</v>
      </c>
      <c r="N11" s="34">
        <v>1</v>
      </c>
      <c r="O11" s="34">
        <v>1</v>
      </c>
      <c r="P11" s="35">
        <v>200</v>
      </c>
      <c r="Q11" s="35">
        <v>20</v>
      </c>
      <c r="R11" s="30">
        <v>1</v>
      </c>
      <c r="S11" s="34">
        <v>10</v>
      </c>
      <c r="T11" s="34">
        <v>1</v>
      </c>
      <c r="U11" s="34">
        <v>2</v>
      </c>
      <c r="V11" s="34">
        <f t="shared" si="0"/>
        <v>13</v>
      </c>
      <c r="W11" s="34">
        <f t="shared" si="1"/>
        <v>1.625</v>
      </c>
      <c r="X11" s="34">
        <v>10</v>
      </c>
      <c r="Y11" s="36">
        <v>1</v>
      </c>
      <c r="Z11" s="36">
        <v>1</v>
      </c>
      <c r="AA11" s="36">
        <v>1</v>
      </c>
      <c r="AB11" s="36">
        <f t="shared" si="2"/>
        <v>14</v>
      </c>
      <c r="AC11" s="36">
        <f t="shared" si="3"/>
        <v>1.5555555555555556</v>
      </c>
      <c r="AD11" s="36">
        <v>9</v>
      </c>
      <c r="AE11" s="25">
        <v>100</v>
      </c>
      <c r="AF11" s="25">
        <v>45</v>
      </c>
      <c r="AG11" s="37">
        <v>0.1</v>
      </c>
      <c r="AH11" s="37">
        <v>0</v>
      </c>
      <c r="AI11" s="37">
        <v>20</v>
      </c>
      <c r="AJ11" s="37">
        <v>3</v>
      </c>
      <c r="AK11" s="36">
        <v>5</v>
      </c>
      <c r="AL11" s="30">
        <v>5000</v>
      </c>
      <c r="AM11" s="30">
        <v>30</v>
      </c>
      <c r="AN11" s="30">
        <v>30</v>
      </c>
      <c r="AO11" s="30">
        <v>30</v>
      </c>
      <c r="AP11" s="30">
        <v>2</v>
      </c>
      <c r="AQ11" s="30">
        <v>10</v>
      </c>
      <c r="AR11" s="30">
        <v>150000</v>
      </c>
      <c r="AS11" s="30">
        <v>0.25</v>
      </c>
      <c r="AT11" s="30">
        <v>150000</v>
      </c>
      <c r="AU11" s="30">
        <v>0.2</v>
      </c>
      <c r="AV11" s="30">
        <v>150000</v>
      </c>
      <c r="AW11" s="30">
        <v>0.2</v>
      </c>
      <c r="AX11" s="30">
        <v>150000</v>
      </c>
      <c r="AY11" s="30">
        <v>0.2</v>
      </c>
      <c r="AZ11" s="30">
        <v>150000</v>
      </c>
      <c r="BA11" s="30">
        <v>0.2</v>
      </c>
      <c r="BB11" s="30">
        <v>150000</v>
      </c>
      <c r="BC11" s="30">
        <v>0.2</v>
      </c>
      <c r="BD11" s="30">
        <v>40000</v>
      </c>
      <c r="BE11" s="30">
        <v>4</v>
      </c>
      <c r="BF11" s="30">
        <v>150000</v>
      </c>
      <c r="BG11" s="30">
        <v>0.25</v>
      </c>
      <c r="BH11" s="33">
        <v>20000</v>
      </c>
      <c r="BI11" s="10">
        <f t="shared" si="4"/>
        <v>405000</v>
      </c>
      <c r="BJ11" s="10">
        <f t="shared" si="5"/>
        <v>10</v>
      </c>
      <c r="BK11" s="10">
        <f t="shared" si="6"/>
        <v>50000</v>
      </c>
      <c r="BL11" s="19">
        <f t="shared" si="7"/>
        <v>0.9375</v>
      </c>
      <c r="BM11" s="19">
        <f t="shared" si="8"/>
        <v>12</v>
      </c>
      <c r="BN11" s="12">
        <f t="shared" si="9"/>
        <v>2000</v>
      </c>
      <c r="BO11" s="19">
        <f t="shared" si="10"/>
        <v>1</v>
      </c>
      <c r="BP11" s="19">
        <f t="shared" si="11"/>
        <v>0</v>
      </c>
      <c r="BQ11" s="53">
        <f t="shared" si="50"/>
        <v>0.39215686274509803</v>
      </c>
      <c r="BR11" s="53">
        <f t="shared" si="12"/>
        <v>0.62622429108514943</v>
      </c>
      <c r="BS11" s="13">
        <f t="shared" si="13"/>
        <v>0.1</v>
      </c>
      <c r="BT11" s="55">
        <f t="shared" si="51"/>
        <v>0.10247438140464883</v>
      </c>
      <c r="BU11" s="55">
        <f t="shared" si="52"/>
        <v>1.7433824661333783</v>
      </c>
      <c r="BV11" s="53">
        <f t="shared" si="14"/>
        <v>0.8011377103579046</v>
      </c>
      <c r="BW11" s="53">
        <f t="shared" si="15"/>
        <v>0.89506296446557576</v>
      </c>
      <c r="BX11" s="13">
        <f t="shared" si="16"/>
        <v>20</v>
      </c>
      <c r="BY11" s="13">
        <f t="shared" si="17"/>
        <v>0.5</v>
      </c>
      <c r="BZ11" s="55">
        <f t="shared" si="53"/>
        <v>0.51851851851851849</v>
      </c>
      <c r="CA11" s="55">
        <f t="shared" si="54"/>
        <v>0.76855962325011251</v>
      </c>
      <c r="CB11" s="53">
        <f t="shared" si="18"/>
        <v>0.80958281701776125</v>
      </c>
      <c r="CC11" s="53">
        <f t="shared" si="19"/>
        <v>0.89976820182631556</v>
      </c>
      <c r="CD11" s="13">
        <f t="shared" si="20"/>
        <v>10</v>
      </c>
      <c r="CE11" s="13">
        <f t="shared" si="21"/>
        <v>0.9</v>
      </c>
      <c r="CF11" s="55">
        <f t="shared" si="55"/>
        <v>0.90909090909090917</v>
      </c>
      <c r="CG11" s="55">
        <f t="shared" si="56"/>
        <v>0.17996765351871488</v>
      </c>
      <c r="CH11" s="57">
        <f t="shared" si="22"/>
        <v>1.0570808902526061</v>
      </c>
      <c r="CI11" s="14">
        <f t="shared" si="23"/>
        <v>0.66606527184181596</v>
      </c>
      <c r="CJ11" s="14">
        <f t="shared" si="57"/>
        <v>0</v>
      </c>
      <c r="CK11" s="10">
        <f t="shared" si="24"/>
        <v>24000</v>
      </c>
      <c r="CL11" s="10">
        <f t="shared" si="25"/>
        <v>10000</v>
      </c>
      <c r="CM11" s="11">
        <f t="shared" si="26"/>
        <v>4000</v>
      </c>
      <c r="CN11" s="11">
        <f t="shared" si="27"/>
        <v>38000</v>
      </c>
      <c r="CO11" s="11">
        <f t="shared" si="28"/>
        <v>2000</v>
      </c>
      <c r="CP11" s="11">
        <f t="shared" si="29"/>
        <v>600</v>
      </c>
      <c r="CQ11" s="11">
        <f t="shared" si="30"/>
        <v>18000</v>
      </c>
      <c r="CR11" s="11">
        <f t="shared" si="31"/>
        <v>18000</v>
      </c>
      <c r="CS11" s="11">
        <f t="shared" si="32"/>
        <v>6000</v>
      </c>
      <c r="CT11" s="11">
        <f t="shared" si="33"/>
        <v>44000</v>
      </c>
      <c r="CU11" s="11">
        <f t="shared" si="34"/>
        <v>400</v>
      </c>
      <c r="CV11" s="11">
        <f t="shared" si="35"/>
        <v>12000</v>
      </c>
      <c r="CW11" s="11">
        <f t="shared" si="36"/>
        <v>6000</v>
      </c>
      <c r="CX11" s="11">
        <f t="shared" si="37"/>
        <v>18000</v>
      </c>
      <c r="CY11" s="11">
        <f t="shared" si="38"/>
        <v>0</v>
      </c>
      <c r="CZ11" s="11">
        <f t="shared" si="39"/>
        <v>0</v>
      </c>
      <c r="DA11" s="11">
        <f t="shared" si="40"/>
        <v>0</v>
      </c>
      <c r="DB11" s="11">
        <f t="shared" si="41"/>
        <v>0</v>
      </c>
      <c r="DC11" s="27">
        <f t="shared" si="42"/>
        <v>150000</v>
      </c>
      <c r="DD11" s="28">
        <f t="shared" si="43"/>
        <v>555000</v>
      </c>
      <c r="DE11" s="28">
        <f t="shared" si="44"/>
        <v>693750</v>
      </c>
      <c r="DF11" s="28">
        <f t="shared" si="45"/>
        <v>4162500</v>
      </c>
      <c r="DG11" s="15">
        <f t="shared" si="46"/>
        <v>1.7231461620944222</v>
      </c>
      <c r="DH11" s="48">
        <f t="shared" si="47"/>
        <v>0.28719102701573701</v>
      </c>
      <c r="DI11" s="17">
        <f t="shared" si="48"/>
        <v>2415639.5386335836</v>
      </c>
    </row>
    <row r="12" spans="1:125" ht="33" customHeight="1" x14ac:dyDescent="0.25">
      <c r="A12" s="24" t="s">
        <v>133</v>
      </c>
      <c r="B12" s="25">
        <v>19</v>
      </c>
      <c r="C12" s="31">
        <v>2</v>
      </c>
      <c r="D12" s="31">
        <v>6</v>
      </c>
      <c r="E12" s="31">
        <v>2</v>
      </c>
      <c r="F12" s="32">
        <v>6</v>
      </c>
      <c r="G12" s="38">
        <v>1</v>
      </c>
      <c r="H12" s="38">
        <v>0.25</v>
      </c>
      <c r="I12" s="38">
        <v>0.25</v>
      </c>
      <c r="J12" s="38">
        <v>1.25</v>
      </c>
      <c r="K12" s="38">
        <v>2.25</v>
      </c>
      <c r="L12" s="51">
        <f t="shared" si="49"/>
        <v>1.75</v>
      </c>
      <c r="M12" s="34">
        <v>3</v>
      </c>
      <c r="N12" s="34">
        <v>1</v>
      </c>
      <c r="O12" s="34">
        <v>1</v>
      </c>
      <c r="P12" s="35">
        <v>200</v>
      </c>
      <c r="Q12" s="35">
        <v>20</v>
      </c>
      <c r="R12" s="30">
        <v>1</v>
      </c>
      <c r="S12" s="34">
        <v>10</v>
      </c>
      <c r="T12" s="34">
        <v>1</v>
      </c>
      <c r="U12" s="34">
        <v>2</v>
      </c>
      <c r="V12" s="34">
        <f t="shared" si="0"/>
        <v>13</v>
      </c>
      <c r="W12" s="34">
        <f t="shared" si="1"/>
        <v>1.625</v>
      </c>
      <c r="X12" s="34">
        <v>10</v>
      </c>
      <c r="Y12" s="36">
        <v>1</v>
      </c>
      <c r="Z12" s="36">
        <v>1</v>
      </c>
      <c r="AA12" s="36">
        <v>1</v>
      </c>
      <c r="AB12" s="36">
        <f t="shared" si="2"/>
        <v>14</v>
      </c>
      <c r="AC12" s="36">
        <f t="shared" si="3"/>
        <v>1.5555555555555556</v>
      </c>
      <c r="AD12" s="36">
        <v>9</v>
      </c>
      <c r="AE12" s="25">
        <v>100</v>
      </c>
      <c r="AF12" s="25">
        <v>45</v>
      </c>
      <c r="AG12" s="37">
        <v>0.1</v>
      </c>
      <c r="AH12" s="37">
        <v>0</v>
      </c>
      <c r="AI12" s="37">
        <v>20</v>
      </c>
      <c r="AJ12" s="37">
        <v>3</v>
      </c>
      <c r="AK12" s="36">
        <v>5</v>
      </c>
      <c r="AL12" s="30">
        <v>5000</v>
      </c>
      <c r="AM12" s="30">
        <v>30</v>
      </c>
      <c r="AN12" s="30">
        <v>30</v>
      </c>
      <c r="AO12" s="30">
        <v>30</v>
      </c>
      <c r="AP12" s="30">
        <v>2</v>
      </c>
      <c r="AQ12" s="30">
        <v>10</v>
      </c>
      <c r="AR12" s="30">
        <v>150000</v>
      </c>
      <c r="AS12" s="30">
        <v>0.25</v>
      </c>
      <c r="AT12" s="30">
        <v>150000</v>
      </c>
      <c r="AU12" s="30">
        <v>0.2</v>
      </c>
      <c r="AV12" s="30">
        <v>150000</v>
      </c>
      <c r="AW12" s="30">
        <v>0.2</v>
      </c>
      <c r="AX12" s="30">
        <v>150000</v>
      </c>
      <c r="AY12" s="30">
        <v>0.2</v>
      </c>
      <c r="AZ12" s="30">
        <v>150000</v>
      </c>
      <c r="BA12" s="30">
        <v>0.2</v>
      </c>
      <c r="BB12" s="30">
        <v>150000</v>
      </c>
      <c r="BC12" s="30">
        <v>0.2</v>
      </c>
      <c r="BD12" s="30">
        <v>40000</v>
      </c>
      <c r="BE12" s="30">
        <v>4</v>
      </c>
      <c r="BF12" s="30">
        <v>150000</v>
      </c>
      <c r="BG12" s="30">
        <v>0.25</v>
      </c>
      <c r="BH12" s="33">
        <v>20000</v>
      </c>
      <c r="BI12" s="10">
        <f t="shared" si="4"/>
        <v>405000</v>
      </c>
      <c r="BJ12" s="10">
        <f t="shared" si="5"/>
        <v>10</v>
      </c>
      <c r="BK12" s="10">
        <f t="shared" si="6"/>
        <v>50000</v>
      </c>
      <c r="BL12" s="19">
        <f t="shared" si="7"/>
        <v>0.96875</v>
      </c>
      <c r="BM12" s="19">
        <f t="shared" si="8"/>
        <v>15</v>
      </c>
      <c r="BN12" s="12">
        <f t="shared" si="9"/>
        <v>2000</v>
      </c>
      <c r="BO12" s="19">
        <f t="shared" si="10"/>
        <v>1</v>
      </c>
      <c r="BP12" s="19">
        <f t="shared" si="11"/>
        <v>0</v>
      </c>
      <c r="BQ12" s="53">
        <f t="shared" si="50"/>
        <v>0.3961661341853035</v>
      </c>
      <c r="BR12" s="53">
        <f t="shared" si="12"/>
        <v>0.62941729733564167</v>
      </c>
      <c r="BS12" s="13">
        <f t="shared" si="13"/>
        <v>0.1</v>
      </c>
      <c r="BT12" s="55">
        <f t="shared" si="51"/>
        <v>0.10247438140464883</v>
      </c>
      <c r="BU12" s="55">
        <f t="shared" si="52"/>
        <v>1.7433824661333783</v>
      </c>
      <c r="BV12" s="53">
        <f t="shared" si="14"/>
        <v>0.80349679843564281</v>
      </c>
      <c r="BW12" s="53">
        <f t="shared" si="15"/>
        <v>0.89637982933332605</v>
      </c>
      <c r="BX12" s="13">
        <f t="shared" si="16"/>
        <v>20</v>
      </c>
      <c r="BY12" s="13">
        <f t="shared" si="17"/>
        <v>0.5</v>
      </c>
      <c r="BZ12" s="55">
        <f t="shared" si="53"/>
        <v>0.51851851851851849</v>
      </c>
      <c r="CA12" s="55">
        <f t="shared" si="54"/>
        <v>0.76855962325011251</v>
      </c>
      <c r="CB12" s="53">
        <f t="shared" si="18"/>
        <v>0.81191955635731938</v>
      </c>
      <c r="CC12" s="53">
        <f t="shared" si="19"/>
        <v>0.90106578913934987</v>
      </c>
      <c r="CD12" s="13">
        <f t="shared" si="20"/>
        <v>10</v>
      </c>
      <c r="CE12" s="13">
        <f t="shared" si="21"/>
        <v>0.9</v>
      </c>
      <c r="CF12" s="55">
        <f t="shared" si="55"/>
        <v>0.90909090909090917</v>
      </c>
      <c r="CG12" s="55">
        <f t="shared" si="56"/>
        <v>0.17996765351871488</v>
      </c>
      <c r="CH12" s="57">
        <f t="shared" si="22"/>
        <v>1.080033447579122</v>
      </c>
      <c r="CI12" s="14">
        <f t="shared" si="23"/>
        <v>0.67807151082650874</v>
      </c>
      <c r="CJ12" s="14">
        <f t="shared" si="57"/>
        <v>0</v>
      </c>
      <c r="CK12" s="10">
        <f t="shared" si="24"/>
        <v>30000</v>
      </c>
      <c r="CL12" s="10">
        <f t="shared" si="25"/>
        <v>10000</v>
      </c>
      <c r="CM12" s="11">
        <f t="shared" si="26"/>
        <v>4000</v>
      </c>
      <c r="CN12" s="11">
        <f t="shared" si="27"/>
        <v>44000</v>
      </c>
      <c r="CO12" s="11">
        <f t="shared" si="28"/>
        <v>2000</v>
      </c>
      <c r="CP12" s="11">
        <f t="shared" si="29"/>
        <v>600</v>
      </c>
      <c r="CQ12" s="11">
        <f t="shared" si="30"/>
        <v>18000</v>
      </c>
      <c r="CR12" s="11">
        <f t="shared" si="31"/>
        <v>18000</v>
      </c>
      <c r="CS12" s="11">
        <f t="shared" si="32"/>
        <v>6000</v>
      </c>
      <c r="CT12" s="11">
        <f t="shared" si="33"/>
        <v>44000</v>
      </c>
      <c r="CU12" s="11">
        <f t="shared" si="34"/>
        <v>400</v>
      </c>
      <c r="CV12" s="11">
        <f t="shared" si="35"/>
        <v>12000</v>
      </c>
      <c r="CW12" s="11">
        <f t="shared" si="36"/>
        <v>6000</v>
      </c>
      <c r="CX12" s="11">
        <f t="shared" si="37"/>
        <v>18000</v>
      </c>
      <c r="CY12" s="11">
        <f t="shared" si="38"/>
        <v>0</v>
      </c>
      <c r="CZ12" s="11">
        <f t="shared" si="39"/>
        <v>0</v>
      </c>
      <c r="DA12" s="11">
        <f t="shared" si="40"/>
        <v>0</v>
      </c>
      <c r="DB12" s="11">
        <f t="shared" si="41"/>
        <v>0</v>
      </c>
      <c r="DC12" s="27">
        <f t="shared" si="42"/>
        <v>156000</v>
      </c>
      <c r="DD12" s="28">
        <f t="shared" si="43"/>
        <v>561000</v>
      </c>
      <c r="DE12" s="28">
        <f t="shared" si="44"/>
        <v>701250</v>
      </c>
      <c r="DF12" s="28">
        <f t="shared" si="45"/>
        <v>4207500</v>
      </c>
      <c r="DG12" s="15">
        <f t="shared" si="46"/>
        <v>1.7581049584056307</v>
      </c>
      <c r="DH12" s="48">
        <f t="shared" si="47"/>
        <v>0.29301749306760511</v>
      </c>
      <c r="DI12" s="17">
        <f t="shared" si="48"/>
        <v>2393201.8278451632</v>
      </c>
    </row>
    <row r="13" spans="1:125" ht="33" customHeight="1" x14ac:dyDescent="0.25">
      <c r="A13" s="24" t="s">
        <v>133</v>
      </c>
      <c r="B13" s="25">
        <v>20</v>
      </c>
      <c r="C13" s="31">
        <v>2</v>
      </c>
      <c r="D13" s="31" t="s">
        <v>113</v>
      </c>
      <c r="E13" s="31">
        <v>2</v>
      </c>
      <c r="F13" s="32">
        <v>5</v>
      </c>
      <c r="G13" s="38">
        <v>1</v>
      </c>
      <c r="H13" s="38">
        <v>0.25</v>
      </c>
      <c r="I13" s="38">
        <v>0.25</v>
      </c>
      <c r="J13" s="38">
        <v>1.25</v>
      </c>
      <c r="K13" s="38">
        <v>2.25</v>
      </c>
      <c r="L13" s="51">
        <f t="shared" si="49"/>
        <v>1.75</v>
      </c>
      <c r="M13" s="34">
        <v>3</v>
      </c>
      <c r="N13" s="34">
        <v>1</v>
      </c>
      <c r="O13" s="34">
        <v>1</v>
      </c>
      <c r="P13" s="35">
        <v>200</v>
      </c>
      <c r="Q13" s="35">
        <v>20</v>
      </c>
      <c r="R13" s="30">
        <v>1</v>
      </c>
      <c r="S13" s="34">
        <v>10</v>
      </c>
      <c r="T13" s="34">
        <v>1</v>
      </c>
      <c r="U13" s="34">
        <v>2</v>
      </c>
      <c r="V13" s="34">
        <f t="shared" si="0"/>
        <v>13</v>
      </c>
      <c r="W13" s="34">
        <f t="shared" si="1"/>
        <v>1.625</v>
      </c>
      <c r="X13" s="34">
        <v>10</v>
      </c>
      <c r="Y13" s="36">
        <v>1</v>
      </c>
      <c r="Z13" s="36">
        <v>1</v>
      </c>
      <c r="AA13" s="36">
        <v>1</v>
      </c>
      <c r="AB13" s="36">
        <f t="shared" si="2"/>
        <v>14</v>
      </c>
      <c r="AC13" s="36">
        <f t="shared" si="3"/>
        <v>1.5555555555555556</v>
      </c>
      <c r="AD13" s="36">
        <v>9</v>
      </c>
      <c r="AE13" s="25">
        <v>100</v>
      </c>
      <c r="AF13" s="25">
        <v>45</v>
      </c>
      <c r="AG13" s="37">
        <v>0.1</v>
      </c>
      <c r="AH13" s="37">
        <v>0</v>
      </c>
      <c r="AI13" s="37">
        <v>20</v>
      </c>
      <c r="AJ13" s="37">
        <v>3</v>
      </c>
      <c r="AK13" s="36">
        <v>5</v>
      </c>
      <c r="AL13" s="30">
        <v>5000</v>
      </c>
      <c r="AM13" s="30">
        <v>30</v>
      </c>
      <c r="AN13" s="30">
        <v>30</v>
      </c>
      <c r="AO13" s="30">
        <v>30</v>
      </c>
      <c r="AP13" s="30">
        <v>2</v>
      </c>
      <c r="AQ13" s="30">
        <v>10</v>
      </c>
      <c r="AR13" s="30">
        <v>150000</v>
      </c>
      <c r="AS13" s="30">
        <v>0.25</v>
      </c>
      <c r="AT13" s="30">
        <v>150000</v>
      </c>
      <c r="AU13" s="30">
        <v>0.2</v>
      </c>
      <c r="AV13" s="30">
        <v>150000</v>
      </c>
      <c r="AW13" s="30">
        <v>0.2</v>
      </c>
      <c r="AX13" s="30">
        <v>150000</v>
      </c>
      <c r="AY13" s="30">
        <v>0.2</v>
      </c>
      <c r="AZ13" s="30">
        <v>150000</v>
      </c>
      <c r="BA13" s="30">
        <v>0.2</v>
      </c>
      <c r="BB13" s="30">
        <v>150000</v>
      </c>
      <c r="BC13" s="30">
        <v>0.2</v>
      </c>
      <c r="BD13" s="30">
        <v>40000</v>
      </c>
      <c r="BE13" s="30">
        <v>4</v>
      </c>
      <c r="BF13" s="30">
        <v>150000</v>
      </c>
      <c r="BG13" s="30">
        <v>0.25</v>
      </c>
      <c r="BH13" s="33">
        <v>20000</v>
      </c>
      <c r="BI13" s="10">
        <f t="shared" si="4"/>
        <v>405000</v>
      </c>
      <c r="BJ13" s="10">
        <f t="shared" si="5"/>
        <v>10</v>
      </c>
      <c r="BK13" s="10">
        <f t="shared" si="6"/>
        <v>50000</v>
      </c>
      <c r="BL13" s="19">
        <f t="shared" si="7"/>
        <v>1</v>
      </c>
      <c r="BM13" s="19">
        <f t="shared" si="8"/>
        <v>20</v>
      </c>
      <c r="BN13" s="12">
        <f t="shared" si="9"/>
        <v>2000</v>
      </c>
      <c r="BO13" s="19">
        <f t="shared" si="10"/>
        <v>1</v>
      </c>
      <c r="BP13" s="19">
        <f t="shared" si="11"/>
        <v>0</v>
      </c>
      <c r="BQ13" s="53">
        <f t="shared" si="50"/>
        <v>0.4</v>
      </c>
      <c r="BR13" s="53">
        <f t="shared" si="12"/>
        <v>0.63245553203367588</v>
      </c>
      <c r="BS13" s="13">
        <f t="shared" si="13"/>
        <v>0.1</v>
      </c>
      <c r="BT13" s="55">
        <f t="shared" si="51"/>
        <v>0.10247438140464883</v>
      </c>
      <c r="BU13" s="55">
        <f t="shared" si="52"/>
        <v>1.7433824661333783</v>
      </c>
      <c r="BV13" s="53">
        <f t="shared" si="14"/>
        <v>0.8057210965435041</v>
      </c>
      <c r="BW13" s="53">
        <f t="shared" si="15"/>
        <v>0.89761968368764289</v>
      </c>
      <c r="BX13" s="13">
        <f t="shared" si="16"/>
        <v>20</v>
      </c>
      <c r="BY13" s="13">
        <f t="shared" si="17"/>
        <v>0.5</v>
      </c>
      <c r="BZ13" s="55">
        <f t="shared" si="53"/>
        <v>0.51851851851851849</v>
      </c>
      <c r="CA13" s="55">
        <f t="shared" si="54"/>
        <v>0.76855962325011251</v>
      </c>
      <c r="CB13" s="53">
        <f t="shared" si="18"/>
        <v>0.81412253374870192</v>
      </c>
      <c r="CC13" s="53">
        <f t="shared" si="19"/>
        <v>0.90228738977595269</v>
      </c>
      <c r="CD13" s="13">
        <f t="shared" si="20"/>
        <v>10</v>
      </c>
      <c r="CE13" s="13">
        <f t="shared" si="21"/>
        <v>0.9</v>
      </c>
      <c r="CF13" s="55">
        <f t="shared" si="55"/>
        <v>0.90909090909090917</v>
      </c>
      <c r="CG13" s="55">
        <f t="shared" si="56"/>
        <v>0.17996765351871488</v>
      </c>
      <c r="CH13" s="57">
        <f t="shared" si="22"/>
        <v>1.1026118851565676</v>
      </c>
      <c r="CI13" s="14">
        <f t="shared" si="23"/>
        <v>0.68987424591685997</v>
      </c>
      <c r="CJ13" s="14">
        <f t="shared" si="57"/>
        <v>0</v>
      </c>
      <c r="CK13" s="10">
        <f t="shared" si="24"/>
        <v>40000</v>
      </c>
      <c r="CL13" s="10">
        <f t="shared" si="25"/>
        <v>10000</v>
      </c>
      <c r="CM13" s="11">
        <f t="shared" si="26"/>
        <v>4000</v>
      </c>
      <c r="CN13" s="11">
        <f t="shared" si="27"/>
        <v>54000</v>
      </c>
      <c r="CO13" s="11">
        <f t="shared" si="28"/>
        <v>2000</v>
      </c>
      <c r="CP13" s="11">
        <f t="shared" si="29"/>
        <v>600</v>
      </c>
      <c r="CQ13" s="11">
        <f t="shared" si="30"/>
        <v>18000</v>
      </c>
      <c r="CR13" s="11">
        <f t="shared" si="31"/>
        <v>18000</v>
      </c>
      <c r="CS13" s="11">
        <f t="shared" si="32"/>
        <v>6000</v>
      </c>
      <c r="CT13" s="11">
        <f t="shared" si="33"/>
        <v>44000</v>
      </c>
      <c r="CU13" s="11">
        <f t="shared" si="34"/>
        <v>400</v>
      </c>
      <c r="CV13" s="11">
        <f t="shared" si="35"/>
        <v>12000</v>
      </c>
      <c r="CW13" s="11">
        <f t="shared" si="36"/>
        <v>6000</v>
      </c>
      <c r="CX13" s="11">
        <f t="shared" si="37"/>
        <v>18000</v>
      </c>
      <c r="CY13" s="11">
        <f t="shared" si="38"/>
        <v>0</v>
      </c>
      <c r="CZ13" s="11">
        <f t="shared" si="39"/>
        <v>0</v>
      </c>
      <c r="DA13" s="11">
        <f t="shared" si="40"/>
        <v>0</v>
      </c>
      <c r="DB13" s="11">
        <f t="shared" si="41"/>
        <v>0</v>
      </c>
      <c r="DC13" s="27">
        <f t="shared" si="42"/>
        <v>166000</v>
      </c>
      <c r="DD13" s="28">
        <f t="shared" si="43"/>
        <v>571000</v>
      </c>
      <c r="DE13" s="28">
        <f t="shared" si="44"/>
        <v>713750</v>
      </c>
      <c r="DF13" s="28">
        <f t="shared" si="45"/>
        <v>3568750</v>
      </c>
      <c r="DG13" s="15">
        <f t="shared" si="46"/>
        <v>1.7924861310734275</v>
      </c>
      <c r="DH13" s="48">
        <f t="shared" si="47"/>
        <v>0.35849722621468549</v>
      </c>
      <c r="DI13" s="17">
        <f t="shared" si="48"/>
        <v>1990949.8534657336</v>
      </c>
    </row>
    <row r="14" spans="1:125" ht="33" customHeight="1" x14ac:dyDescent="0.25">
      <c r="A14" s="24" t="s">
        <v>133</v>
      </c>
      <c r="B14" s="25">
        <v>21</v>
      </c>
      <c r="C14" s="31">
        <v>3</v>
      </c>
      <c r="D14" s="31">
        <v>4</v>
      </c>
      <c r="E14" s="31">
        <v>2</v>
      </c>
      <c r="F14" s="32">
        <v>4</v>
      </c>
      <c r="G14" s="38">
        <v>1</v>
      </c>
      <c r="H14" s="38">
        <v>0.25</v>
      </c>
      <c r="I14" s="38">
        <v>0.25</v>
      </c>
      <c r="J14" s="38">
        <v>1.25</v>
      </c>
      <c r="K14" s="38">
        <v>2.25</v>
      </c>
      <c r="L14" s="51">
        <f t="shared" si="49"/>
        <v>1.75</v>
      </c>
      <c r="M14" s="34">
        <v>3</v>
      </c>
      <c r="N14" s="34">
        <v>1</v>
      </c>
      <c r="O14" s="34">
        <v>1</v>
      </c>
      <c r="P14" s="35">
        <v>200</v>
      </c>
      <c r="Q14" s="35">
        <v>20</v>
      </c>
      <c r="R14" s="30">
        <v>1</v>
      </c>
      <c r="S14" s="34">
        <v>10</v>
      </c>
      <c r="T14" s="34">
        <v>1</v>
      </c>
      <c r="U14" s="34">
        <v>2</v>
      </c>
      <c r="V14" s="34">
        <f t="shared" si="0"/>
        <v>13</v>
      </c>
      <c r="W14" s="34">
        <f t="shared" si="1"/>
        <v>1.625</v>
      </c>
      <c r="X14" s="34">
        <v>10</v>
      </c>
      <c r="Y14" s="36">
        <v>1</v>
      </c>
      <c r="Z14" s="36">
        <v>1</v>
      </c>
      <c r="AA14" s="36">
        <v>1</v>
      </c>
      <c r="AB14" s="36">
        <f t="shared" si="2"/>
        <v>14</v>
      </c>
      <c r="AC14" s="36">
        <f t="shared" si="3"/>
        <v>1.5555555555555556</v>
      </c>
      <c r="AD14" s="36">
        <v>9</v>
      </c>
      <c r="AE14" s="25">
        <v>100</v>
      </c>
      <c r="AF14" s="25">
        <v>45</v>
      </c>
      <c r="AG14" s="37">
        <v>0.1</v>
      </c>
      <c r="AH14" s="37">
        <v>0</v>
      </c>
      <c r="AI14" s="37">
        <v>20</v>
      </c>
      <c r="AJ14" s="37">
        <v>3</v>
      </c>
      <c r="AK14" s="36">
        <v>5</v>
      </c>
      <c r="AL14" s="30">
        <v>5000</v>
      </c>
      <c r="AM14" s="30">
        <v>30</v>
      </c>
      <c r="AN14" s="30">
        <v>30</v>
      </c>
      <c r="AO14" s="30">
        <v>30</v>
      </c>
      <c r="AP14" s="30">
        <v>2</v>
      </c>
      <c r="AQ14" s="30">
        <v>10</v>
      </c>
      <c r="AR14" s="30">
        <v>150000</v>
      </c>
      <c r="AS14" s="30">
        <v>0.25</v>
      </c>
      <c r="AT14" s="30">
        <v>150000</v>
      </c>
      <c r="AU14" s="30">
        <v>0.2</v>
      </c>
      <c r="AV14" s="30">
        <v>150000</v>
      </c>
      <c r="AW14" s="30">
        <v>0.2</v>
      </c>
      <c r="AX14" s="30">
        <v>150000</v>
      </c>
      <c r="AY14" s="30">
        <v>0.2</v>
      </c>
      <c r="AZ14" s="30">
        <v>150000</v>
      </c>
      <c r="BA14" s="30">
        <v>0.2</v>
      </c>
      <c r="BB14" s="30">
        <v>150000</v>
      </c>
      <c r="BC14" s="30">
        <v>0.2</v>
      </c>
      <c r="BD14" s="30">
        <v>40000</v>
      </c>
      <c r="BE14" s="30">
        <v>4</v>
      </c>
      <c r="BF14" s="30">
        <v>150000</v>
      </c>
      <c r="BG14" s="30">
        <v>0.25</v>
      </c>
      <c r="BH14" s="33">
        <v>20000</v>
      </c>
      <c r="BI14" s="10">
        <f t="shared" ref="BI14:BI16" si="58">(AR14*AS14)+(AT14*AU14)+(AV14*AW14)+(AX14*AY14)+(AZ14*BA14)+(BB14*BC14)+(BD14*BE14)+(BF14*BG14)+BH14</f>
        <v>405000</v>
      </c>
      <c r="BJ14" s="10">
        <f t="shared" ref="BJ14:BJ16" si="59">_xlfn.IFS(E14=1,M14,E14=2,S14,E14=3,Y14)</f>
        <v>10</v>
      </c>
      <c r="BK14" s="10">
        <f t="shared" ref="BK14:BK16" si="60">BJ14*AL14</f>
        <v>50000</v>
      </c>
      <c r="BL14" s="19">
        <f t="shared" ref="BL14:BL16" si="61">_xlfn.IFS(D14=2,0.5,D14=3,0.75,D14=4,0.875, D14=5,0.9375, D14=6, 0.96875, D14=7, 0.984375, D14="DH", 1)</f>
        <v>0.875</v>
      </c>
      <c r="BM14" s="19">
        <f t="shared" ref="BM14:BM16" si="62">_xlfn.IFS(D14&lt;&gt;"DH", (D14-1)*AJ14,D14="DH",AI14)</f>
        <v>9</v>
      </c>
      <c r="BN14" s="12">
        <f t="shared" ref="BN14:BN16" si="63">P14/AG14</f>
        <v>2000</v>
      </c>
      <c r="BO14" s="19">
        <f t="shared" ref="BO14:BO16" si="64">_xlfn.IFS(E14=1,0,E14=2,1,E14=3,1)</f>
        <v>1</v>
      </c>
      <c r="BP14" s="19">
        <f t="shared" ref="BP14:BP16" si="65">_xlfn.IFS(E14=1,0,E14=2,0,E14=3,1)</f>
        <v>0</v>
      </c>
      <c r="BQ14" s="53">
        <f t="shared" si="50"/>
        <v>0.38356164383561642</v>
      </c>
      <c r="BR14" s="53">
        <f t="shared" ref="BR14:BR16" si="66">BQ14^0.5</f>
        <v>0.61932353728533229</v>
      </c>
      <c r="BS14" s="13">
        <f t="shared" ref="BS14:BS16" si="67">(Q14/P14)</f>
        <v>0.1</v>
      </c>
      <c r="BT14" s="55">
        <f t="shared" si="51"/>
        <v>0.10247438140464883</v>
      </c>
      <c r="BU14" s="55">
        <f t="shared" si="52"/>
        <v>1.7433824661333783</v>
      </c>
      <c r="BV14" s="53">
        <f t="shared" si="14"/>
        <v>0.79596299411269977</v>
      </c>
      <c r="BW14" s="53">
        <f>SQRT(BV14)</f>
        <v>0.8921675818548328</v>
      </c>
      <c r="BX14" s="13">
        <f t="shared" si="16"/>
        <v>20</v>
      </c>
      <c r="BY14" s="13">
        <f t="shared" si="17"/>
        <v>0.5</v>
      </c>
      <c r="BZ14" s="55">
        <f t="shared" si="53"/>
        <v>0.51851851851851849</v>
      </c>
      <c r="CA14" s="55">
        <f t="shared" si="54"/>
        <v>0.76855962325011251</v>
      </c>
      <c r="CB14" s="53">
        <f t="shared" si="18"/>
        <v>0.80445617121078861</v>
      </c>
      <c r="CC14" s="53">
        <f t="shared" ref="CC14:CC16" si="68">CB14^0.5</f>
        <v>0.89691480710867333</v>
      </c>
      <c r="CD14" s="13">
        <f t="shared" si="20"/>
        <v>10</v>
      </c>
      <c r="CE14" s="13">
        <f t="shared" si="21"/>
        <v>0.9</v>
      </c>
      <c r="CF14" s="55">
        <f t="shared" si="55"/>
        <v>0.90909090909090917</v>
      </c>
      <c r="CG14" s="55">
        <f t="shared" si="56"/>
        <v>0.17996765351871488</v>
      </c>
      <c r="CH14" s="57">
        <f t="shared" si="22"/>
        <v>1.0099835165406714</v>
      </c>
      <c r="CI14" s="14">
        <f t="shared" si="23"/>
        <v>0.64139863273833553</v>
      </c>
      <c r="CJ14" s="14">
        <f t="shared" si="57"/>
        <v>0</v>
      </c>
      <c r="CK14" s="10">
        <f t="shared" si="24"/>
        <v>18000</v>
      </c>
      <c r="CL14" s="10">
        <f t="shared" si="25"/>
        <v>10000</v>
      </c>
      <c r="CM14" s="11">
        <f t="shared" si="26"/>
        <v>4000</v>
      </c>
      <c r="CN14" s="11">
        <f t="shared" ref="CN14:CN16" si="69">CK14+CL14+CM14</f>
        <v>32000</v>
      </c>
      <c r="CO14" s="11">
        <f t="shared" si="28"/>
        <v>2000</v>
      </c>
      <c r="CP14" s="11">
        <f t="shared" si="29"/>
        <v>600</v>
      </c>
      <c r="CQ14" s="11">
        <f t="shared" si="30"/>
        <v>18000</v>
      </c>
      <c r="CR14" s="11">
        <f t="shared" si="31"/>
        <v>18000</v>
      </c>
      <c r="CS14" s="11">
        <f t="shared" si="32"/>
        <v>6000</v>
      </c>
      <c r="CT14" s="11">
        <f t="shared" ref="CT14:CT16" si="70">CQ14+CR14+CO14+CS14</f>
        <v>44000</v>
      </c>
      <c r="CU14" s="11">
        <f t="shared" si="34"/>
        <v>400</v>
      </c>
      <c r="CV14" s="11">
        <f t="shared" si="35"/>
        <v>12000</v>
      </c>
      <c r="CW14" s="11">
        <f t="shared" si="36"/>
        <v>6000</v>
      </c>
      <c r="CX14" s="11">
        <f t="shared" ref="CX14:CX16" si="71">CV14+CW14</f>
        <v>18000</v>
      </c>
      <c r="CY14" s="11">
        <f t="shared" si="38"/>
        <v>0</v>
      </c>
      <c r="CZ14" s="11">
        <f t="shared" si="39"/>
        <v>0</v>
      </c>
      <c r="DA14" s="11">
        <f t="shared" si="40"/>
        <v>0</v>
      </c>
      <c r="DB14" s="11">
        <f t="shared" ref="DB14:DB16" si="72">CZ14+DA14</f>
        <v>0</v>
      </c>
      <c r="DC14" s="27">
        <f t="shared" si="42"/>
        <v>144000</v>
      </c>
      <c r="DD14" s="28">
        <f t="shared" si="43"/>
        <v>549000</v>
      </c>
      <c r="DE14" s="28">
        <f t="shared" ref="DE14:DE16" si="73">DD14*1.25</f>
        <v>686250</v>
      </c>
      <c r="DF14" s="28">
        <f t="shared" si="45"/>
        <v>2745000</v>
      </c>
      <c r="DG14" s="15">
        <f t="shared" ref="DG14:DG16" si="74">CH14+CI14+CJ14</f>
        <v>1.6513821492790068</v>
      </c>
      <c r="DH14" s="48">
        <f t="shared" si="47"/>
        <v>0.41284553731975171</v>
      </c>
      <c r="DI14" s="17">
        <f t="shared" ref="DI14:DI16" si="75">DF14/DG14</f>
        <v>1662243.9580072162</v>
      </c>
    </row>
    <row r="15" spans="1:125" ht="33" customHeight="1" x14ac:dyDescent="0.25">
      <c r="A15" s="24" t="s">
        <v>133</v>
      </c>
      <c r="B15" s="25">
        <v>22</v>
      </c>
      <c r="C15" s="31">
        <v>3</v>
      </c>
      <c r="D15" s="31">
        <v>5</v>
      </c>
      <c r="E15" s="31">
        <v>2</v>
      </c>
      <c r="F15" s="32">
        <v>5</v>
      </c>
      <c r="G15" s="38">
        <v>1</v>
      </c>
      <c r="H15" s="38">
        <v>0.25</v>
      </c>
      <c r="I15" s="38">
        <v>0.25</v>
      </c>
      <c r="J15" s="38">
        <v>1.25</v>
      </c>
      <c r="K15" s="38">
        <v>2.25</v>
      </c>
      <c r="L15" s="51">
        <f t="shared" si="49"/>
        <v>1.75</v>
      </c>
      <c r="M15" s="34">
        <v>3</v>
      </c>
      <c r="N15" s="34">
        <v>1</v>
      </c>
      <c r="O15" s="34">
        <v>1</v>
      </c>
      <c r="P15" s="35">
        <v>200</v>
      </c>
      <c r="Q15" s="35">
        <v>20</v>
      </c>
      <c r="R15" s="30">
        <v>1</v>
      </c>
      <c r="S15" s="34">
        <v>10</v>
      </c>
      <c r="T15" s="34">
        <v>1</v>
      </c>
      <c r="U15" s="34">
        <v>2</v>
      </c>
      <c r="V15" s="34">
        <f t="shared" si="0"/>
        <v>13</v>
      </c>
      <c r="W15" s="34">
        <f t="shared" si="1"/>
        <v>1.625</v>
      </c>
      <c r="X15" s="34">
        <v>10</v>
      </c>
      <c r="Y15" s="36">
        <v>1</v>
      </c>
      <c r="Z15" s="36">
        <v>1</v>
      </c>
      <c r="AA15" s="36">
        <v>1</v>
      </c>
      <c r="AB15" s="36">
        <f t="shared" si="2"/>
        <v>14</v>
      </c>
      <c r="AC15" s="36">
        <f t="shared" si="3"/>
        <v>1.5555555555555556</v>
      </c>
      <c r="AD15" s="36">
        <v>9</v>
      </c>
      <c r="AE15" s="25">
        <v>100</v>
      </c>
      <c r="AF15" s="25">
        <v>45</v>
      </c>
      <c r="AG15" s="37">
        <v>0.1</v>
      </c>
      <c r="AH15" s="37">
        <v>0</v>
      </c>
      <c r="AI15" s="37">
        <v>20</v>
      </c>
      <c r="AJ15" s="37">
        <v>3</v>
      </c>
      <c r="AK15" s="36">
        <v>5</v>
      </c>
      <c r="AL15" s="30">
        <v>5000</v>
      </c>
      <c r="AM15" s="30">
        <v>30</v>
      </c>
      <c r="AN15" s="30">
        <v>30</v>
      </c>
      <c r="AO15" s="30">
        <v>30</v>
      </c>
      <c r="AP15" s="30">
        <v>2</v>
      </c>
      <c r="AQ15" s="30">
        <v>10</v>
      </c>
      <c r="AR15" s="30">
        <v>150000</v>
      </c>
      <c r="AS15" s="30">
        <v>0.25</v>
      </c>
      <c r="AT15" s="30">
        <v>150000</v>
      </c>
      <c r="AU15" s="30">
        <v>0.2</v>
      </c>
      <c r="AV15" s="30">
        <v>150000</v>
      </c>
      <c r="AW15" s="30">
        <v>0.2</v>
      </c>
      <c r="AX15" s="30">
        <v>150000</v>
      </c>
      <c r="AY15" s="30">
        <v>0.2</v>
      </c>
      <c r="AZ15" s="30">
        <v>150000</v>
      </c>
      <c r="BA15" s="30">
        <v>0.2</v>
      </c>
      <c r="BB15" s="30">
        <v>150000</v>
      </c>
      <c r="BC15" s="30">
        <v>0.2</v>
      </c>
      <c r="BD15" s="30">
        <v>40000</v>
      </c>
      <c r="BE15" s="30">
        <v>4</v>
      </c>
      <c r="BF15" s="30">
        <v>150000</v>
      </c>
      <c r="BG15" s="30">
        <v>0.25</v>
      </c>
      <c r="BH15" s="33">
        <v>20000</v>
      </c>
      <c r="BI15" s="10">
        <f t="shared" si="58"/>
        <v>405000</v>
      </c>
      <c r="BJ15" s="10">
        <f t="shared" si="59"/>
        <v>10</v>
      </c>
      <c r="BK15" s="10">
        <f t="shared" si="60"/>
        <v>50000</v>
      </c>
      <c r="BL15" s="19">
        <f t="shared" si="61"/>
        <v>0.9375</v>
      </c>
      <c r="BM15" s="19">
        <f t="shared" si="62"/>
        <v>12</v>
      </c>
      <c r="BN15" s="12">
        <f t="shared" si="63"/>
        <v>2000</v>
      </c>
      <c r="BO15" s="19">
        <f t="shared" si="64"/>
        <v>1</v>
      </c>
      <c r="BP15" s="19">
        <f t="shared" si="65"/>
        <v>0</v>
      </c>
      <c r="BQ15" s="53">
        <f t="shared" si="50"/>
        <v>0.39215686274509803</v>
      </c>
      <c r="BR15" s="53">
        <f t="shared" si="66"/>
        <v>0.62622429108514943</v>
      </c>
      <c r="BS15" s="13">
        <f t="shared" si="67"/>
        <v>0.1</v>
      </c>
      <c r="BT15" s="55">
        <f t="shared" si="51"/>
        <v>0.10247438140464883</v>
      </c>
      <c r="BU15" s="55">
        <f t="shared" si="52"/>
        <v>1.7433824661333783</v>
      </c>
      <c r="BV15" s="53">
        <f t="shared" si="14"/>
        <v>0.8011377103579046</v>
      </c>
      <c r="BW15" s="53">
        <f t="shared" ref="BW15:BW16" si="76">SQRT(BV15)</f>
        <v>0.89506296446557576</v>
      </c>
      <c r="BX15" s="13">
        <f t="shared" si="16"/>
        <v>20</v>
      </c>
      <c r="BY15" s="13">
        <f t="shared" si="17"/>
        <v>0.5</v>
      </c>
      <c r="BZ15" s="55">
        <f t="shared" si="53"/>
        <v>0.51851851851851849</v>
      </c>
      <c r="CA15" s="55">
        <f t="shared" si="54"/>
        <v>0.76855962325011251</v>
      </c>
      <c r="CB15" s="53">
        <f t="shared" si="18"/>
        <v>0.80958281701776125</v>
      </c>
      <c r="CC15" s="53">
        <f t="shared" si="68"/>
        <v>0.89976820182631556</v>
      </c>
      <c r="CD15" s="13">
        <f t="shared" si="20"/>
        <v>10</v>
      </c>
      <c r="CE15" s="13">
        <f t="shared" si="21"/>
        <v>0.9</v>
      </c>
      <c r="CF15" s="55">
        <f t="shared" si="55"/>
        <v>0.90909090909090917</v>
      </c>
      <c r="CG15" s="55">
        <f t="shared" si="56"/>
        <v>0.17996765351871488</v>
      </c>
      <c r="CH15" s="57">
        <f t="shared" si="22"/>
        <v>1.0570808902526061</v>
      </c>
      <c r="CI15" s="14">
        <f t="shared" si="23"/>
        <v>0.66606527184181596</v>
      </c>
      <c r="CJ15" s="14">
        <f t="shared" si="57"/>
        <v>0</v>
      </c>
      <c r="CK15" s="10">
        <f t="shared" si="24"/>
        <v>24000</v>
      </c>
      <c r="CL15" s="10">
        <f t="shared" si="25"/>
        <v>10000</v>
      </c>
      <c r="CM15" s="11">
        <f t="shared" si="26"/>
        <v>4000</v>
      </c>
      <c r="CN15" s="11">
        <f t="shared" si="69"/>
        <v>38000</v>
      </c>
      <c r="CO15" s="11">
        <f t="shared" si="28"/>
        <v>2000</v>
      </c>
      <c r="CP15" s="11">
        <f t="shared" si="29"/>
        <v>600</v>
      </c>
      <c r="CQ15" s="11">
        <f t="shared" si="30"/>
        <v>18000</v>
      </c>
      <c r="CR15" s="11">
        <f t="shared" si="31"/>
        <v>18000</v>
      </c>
      <c r="CS15" s="11">
        <f t="shared" si="32"/>
        <v>6000</v>
      </c>
      <c r="CT15" s="11">
        <f t="shared" si="70"/>
        <v>44000</v>
      </c>
      <c r="CU15" s="11">
        <f t="shared" si="34"/>
        <v>400</v>
      </c>
      <c r="CV15" s="11">
        <f t="shared" si="35"/>
        <v>12000</v>
      </c>
      <c r="CW15" s="11">
        <f t="shared" si="36"/>
        <v>6000</v>
      </c>
      <c r="CX15" s="11">
        <f t="shared" si="71"/>
        <v>18000</v>
      </c>
      <c r="CY15" s="11">
        <f t="shared" si="38"/>
        <v>0</v>
      </c>
      <c r="CZ15" s="11">
        <f t="shared" si="39"/>
        <v>0</v>
      </c>
      <c r="DA15" s="11">
        <f t="shared" si="40"/>
        <v>0</v>
      </c>
      <c r="DB15" s="11">
        <f t="shared" si="72"/>
        <v>0</v>
      </c>
      <c r="DC15" s="27">
        <f t="shared" si="42"/>
        <v>150000</v>
      </c>
      <c r="DD15" s="28">
        <f t="shared" si="43"/>
        <v>555000</v>
      </c>
      <c r="DE15" s="28">
        <f t="shared" si="73"/>
        <v>693750</v>
      </c>
      <c r="DF15" s="28">
        <f t="shared" si="45"/>
        <v>3468750</v>
      </c>
      <c r="DG15" s="15">
        <f t="shared" si="74"/>
        <v>1.7231461620944222</v>
      </c>
      <c r="DH15" s="48">
        <f t="shared" si="47"/>
        <v>0.34462923241888443</v>
      </c>
      <c r="DI15" s="17">
        <f t="shared" si="75"/>
        <v>2013032.9488613196</v>
      </c>
    </row>
    <row r="16" spans="1:125" ht="33" customHeight="1" x14ac:dyDescent="0.25">
      <c r="A16" s="24" t="s">
        <v>133</v>
      </c>
      <c r="B16" s="25">
        <v>23</v>
      </c>
      <c r="C16" s="31">
        <v>3</v>
      </c>
      <c r="D16" s="31">
        <v>6</v>
      </c>
      <c r="E16" s="31">
        <v>2</v>
      </c>
      <c r="F16" s="32">
        <v>5</v>
      </c>
      <c r="G16" s="38">
        <v>1</v>
      </c>
      <c r="H16" s="38">
        <v>0.25</v>
      </c>
      <c r="I16" s="38">
        <v>0.25</v>
      </c>
      <c r="J16" s="38">
        <v>1.25</v>
      </c>
      <c r="K16" s="38">
        <v>2.25</v>
      </c>
      <c r="L16" s="51">
        <f t="shared" si="49"/>
        <v>1.75</v>
      </c>
      <c r="M16" s="34">
        <v>3</v>
      </c>
      <c r="N16" s="34">
        <v>1</v>
      </c>
      <c r="O16" s="34">
        <v>1</v>
      </c>
      <c r="P16" s="35">
        <v>200</v>
      </c>
      <c r="Q16" s="35">
        <v>20</v>
      </c>
      <c r="R16" s="30">
        <v>1</v>
      </c>
      <c r="S16" s="34">
        <v>10</v>
      </c>
      <c r="T16" s="34">
        <v>1</v>
      </c>
      <c r="U16" s="34">
        <v>2</v>
      </c>
      <c r="V16" s="34">
        <f t="shared" si="0"/>
        <v>13</v>
      </c>
      <c r="W16" s="34">
        <f t="shared" si="1"/>
        <v>1.625</v>
      </c>
      <c r="X16" s="34">
        <v>10</v>
      </c>
      <c r="Y16" s="36">
        <v>1</v>
      </c>
      <c r="Z16" s="36">
        <v>1</v>
      </c>
      <c r="AA16" s="36">
        <v>1</v>
      </c>
      <c r="AB16" s="36">
        <f t="shared" si="2"/>
        <v>14</v>
      </c>
      <c r="AC16" s="36">
        <f t="shared" si="3"/>
        <v>1.5555555555555556</v>
      </c>
      <c r="AD16" s="36">
        <v>9</v>
      </c>
      <c r="AE16" s="25">
        <v>100</v>
      </c>
      <c r="AF16" s="25">
        <v>45</v>
      </c>
      <c r="AG16" s="37">
        <v>0.1</v>
      </c>
      <c r="AH16" s="37">
        <v>0</v>
      </c>
      <c r="AI16" s="37">
        <v>20</v>
      </c>
      <c r="AJ16" s="37">
        <v>3</v>
      </c>
      <c r="AK16" s="36">
        <v>5</v>
      </c>
      <c r="AL16" s="30">
        <v>5000</v>
      </c>
      <c r="AM16" s="30">
        <v>30</v>
      </c>
      <c r="AN16" s="30">
        <v>30</v>
      </c>
      <c r="AO16" s="30">
        <v>30</v>
      </c>
      <c r="AP16" s="30">
        <v>2</v>
      </c>
      <c r="AQ16" s="30">
        <v>10</v>
      </c>
      <c r="AR16" s="30">
        <v>150000</v>
      </c>
      <c r="AS16" s="30">
        <v>0.25</v>
      </c>
      <c r="AT16" s="30">
        <v>150000</v>
      </c>
      <c r="AU16" s="30">
        <v>0.2</v>
      </c>
      <c r="AV16" s="30">
        <v>150000</v>
      </c>
      <c r="AW16" s="30">
        <v>0.2</v>
      </c>
      <c r="AX16" s="30">
        <v>150000</v>
      </c>
      <c r="AY16" s="30">
        <v>0.2</v>
      </c>
      <c r="AZ16" s="30">
        <v>150000</v>
      </c>
      <c r="BA16" s="30">
        <v>0.2</v>
      </c>
      <c r="BB16" s="30">
        <v>150000</v>
      </c>
      <c r="BC16" s="30">
        <v>0.2</v>
      </c>
      <c r="BD16" s="30">
        <v>40000</v>
      </c>
      <c r="BE16" s="30">
        <v>4</v>
      </c>
      <c r="BF16" s="30">
        <v>150000</v>
      </c>
      <c r="BG16" s="30">
        <v>0.25</v>
      </c>
      <c r="BH16" s="33">
        <v>20000</v>
      </c>
      <c r="BI16" s="10">
        <f t="shared" si="58"/>
        <v>405000</v>
      </c>
      <c r="BJ16" s="10">
        <f t="shared" si="59"/>
        <v>10</v>
      </c>
      <c r="BK16" s="10">
        <f t="shared" si="60"/>
        <v>50000</v>
      </c>
      <c r="BL16" s="19">
        <f t="shared" si="61"/>
        <v>0.96875</v>
      </c>
      <c r="BM16" s="19">
        <f t="shared" si="62"/>
        <v>15</v>
      </c>
      <c r="BN16" s="12">
        <f t="shared" si="63"/>
        <v>2000</v>
      </c>
      <c r="BO16" s="19">
        <f t="shared" si="64"/>
        <v>1</v>
      </c>
      <c r="BP16" s="19">
        <f t="shared" si="65"/>
        <v>0</v>
      </c>
      <c r="BQ16" s="53">
        <f t="shared" si="50"/>
        <v>0.3961661341853035</v>
      </c>
      <c r="BR16" s="53">
        <f t="shared" si="66"/>
        <v>0.62941729733564167</v>
      </c>
      <c r="BS16" s="13">
        <f t="shared" si="67"/>
        <v>0.1</v>
      </c>
      <c r="BT16" s="55">
        <f t="shared" si="51"/>
        <v>0.10247438140464883</v>
      </c>
      <c r="BU16" s="55">
        <f t="shared" si="52"/>
        <v>1.7433824661333783</v>
      </c>
      <c r="BV16" s="53">
        <f t="shared" si="14"/>
        <v>0.80349679843564281</v>
      </c>
      <c r="BW16" s="53">
        <f t="shared" si="76"/>
        <v>0.89637982933332605</v>
      </c>
      <c r="BX16" s="13">
        <f t="shared" si="16"/>
        <v>20</v>
      </c>
      <c r="BY16" s="13">
        <f t="shared" si="17"/>
        <v>0.5</v>
      </c>
      <c r="BZ16" s="55">
        <f t="shared" si="53"/>
        <v>0.51851851851851849</v>
      </c>
      <c r="CA16" s="55">
        <f t="shared" si="54"/>
        <v>0.76855962325011251</v>
      </c>
      <c r="CB16" s="53">
        <f t="shared" si="18"/>
        <v>0.81191955635731938</v>
      </c>
      <c r="CC16" s="53">
        <f t="shared" si="68"/>
        <v>0.90106578913934987</v>
      </c>
      <c r="CD16" s="13">
        <f t="shared" si="20"/>
        <v>10</v>
      </c>
      <c r="CE16" s="13">
        <f t="shared" si="21"/>
        <v>0.9</v>
      </c>
      <c r="CF16" s="55">
        <f t="shared" si="55"/>
        <v>0.90909090909090917</v>
      </c>
      <c r="CG16" s="55">
        <f t="shared" si="56"/>
        <v>0.17996765351871488</v>
      </c>
      <c r="CH16" s="57">
        <f t="shared" si="22"/>
        <v>1.080033447579122</v>
      </c>
      <c r="CI16" s="14">
        <f t="shared" si="23"/>
        <v>0.67807151082650874</v>
      </c>
      <c r="CJ16" s="14">
        <f t="shared" si="57"/>
        <v>0</v>
      </c>
      <c r="CK16" s="10">
        <f t="shared" si="24"/>
        <v>30000</v>
      </c>
      <c r="CL16" s="10">
        <f t="shared" si="25"/>
        <v>10000</v>
      </c>
      <c r="CM16" s="11">
        <f t="shared" si="26"/>
        <v>4000</v>
      </c>
      <c r="CN16" s="11">
        <f t="shared" si="69"/>
        <v>44000</v>
      </c>
      <c r="CO16" s="11">
        <f t="shared" si="28"/>
        <v>2000</v>
      </c>
      <c r="CP16" s="11">
        <f t="shared" si="29"/>
        <v>600</v>
      </c>
      <c r="CQ16" s="11">
        <f t="shared" si="30"/>
        <v>18000</v>
      </c>
      <c r="CR16" s="11">
        <f t="shared" si="31"/>
        <v>18000</v>
      </c>
      <c r="CS16" s="11">
        <f t="shared" si="32"/>
        <v>6000</v>
      </c>
      <c r="CT16" s="11">
        <f t="shared" si="70"/>
        <v>44000</v>
      </c>
      <c r="CU16" s="11">
        <f t="shared" si="34"/>
        <v>400</v>
      </c>
      <c r="CV16" s="11">
        <f t="shared" si="35"/>
        <v>12000</v>
      </c>
      <c r="CW16" s="11">
        <f t="shared" si="36"/>
        <v>6000</v>
      </c>
      <c r="CX16" s="11">
        <f t="shared" si="71"/>
        <v>18000</v>
      </c>
      <c r="CY16" s="11">
        <f t="shared" si="38"/>
        <v>0</v>
      </c>
      <c r="CZ16" s="11">
        <f t="shared" si="39"/>
        <v>0</v>
      </c>
      <c r="DA16" s="11">
        <f t="shared" si="40"/>
        <v>0</v>
      </c>
      <c r="DB16" s="11">
        <f t="shared" si="72"/>
        <v>0</v>
      </c>
      <c r="DC16" s="27">
        <f t="shared" si="42"/>
        <v>156000</v>
      </c>
      <c r="DD16" s="28">
        <f t="shared" si="43"/>
        <v>561000</v>
      </c>
      <c r="DE16" s="28">
        <f t="shared" si="73"/>
        <v>701250</v>
      </c>
      <c r="DF16" s="28">
        <f t="shared" si="45"/>
        <v>3506250</v>
      </c>
      <c r="DG16" s="15">
        <f t="shared" si="74"/>
        <v>1.7581049584056307</v>
      </c>
      <c r="DH16" s="48">
        <f t="shared" si="47"/>
        <v>0.35162099168112615</v>
      </c>
      <c r="DI16" s="17">
        <f t="shared" si="75"/>
        <v>1994334.8565376359</v>
      </c>
    </row>
    <row r="17" spans="1:113" ht="33" customHeight="1" x14ac:dyDescent="0.25">
      <c r="A17" s="24" t="s">
        <v>133</v>
      </c>
      <c r="B17" s="25">
        <v>23</v>
      </c>
      <c r="C17" s="31">
        <v>3</v>
      </c>
      <c r="D17" s="31" t="s">
        <v>113</v>
      </c>
      <c r="E17" s="31">
        <v>2</v>
      </c>
      <c r="F17" s="32">
        <v>3</v>
      </c>
      <c r="G17" s="38">
        <v>1</v>
      </c>
      <c r="H17" s="38">
        <v>0.25</v>
      </c>
      <c r="I17" s="38">
        <v>0.25</v>
      </c>
      <c r="J17" s="38">
        <v>1.25</v>
      </c>
      <c r="K17" s="38">
        <v>2.25</v>
      </c>
      <c r="L17" s="51">
        <f t="shared" ref="L17" si="77">H17+I17+J17</f>
        <v>1.75</v>
      </c>
      <c r="M17" s="34">
        <v>3</v>
      </c>
      <c r="N17" s="34">
        <v>1</v>
      </c>
      <c r="O17" s="34">
        <v>1</v>
      </c>
      <c r="P17" s="35">
        <v>200</v>
      </c>
      <c r="Q17" s="35">
        <v>20</v>
      </c>
      <c r="R17" s="30">
        <v>1</v>
      </c>
      <c r="S17" s="34">
        <v>10</v>
      </c>
      <c r="T17" s="34">
        <v>1</v>
      </c>
      <c r="U17" s="34">
        <v>2</v>
      </c>
      <c r="V17" s="34">
        <f t="shared" ref="V17" si="78">S17+M17</f>
        <v>13</v>
      </c>
      <c r="W17" s="34">
        <f t="shared" ref="W17" si="79">V17/((M17/O17)+(S17/U17))</f>
        <v>1.625</v>
      </c>
      <c r="X17" s="34">
        <v>10</v>
      </c>
      <c r="Y17" s="36">
        <v>1</v>
      </c>
      <c r="Z17" s="36">
        <v>1</v>
      </c>
      <c r="AA17" s="36">
        <v>1</v>
      </c>
      <c r="AB17" s="36">
        <f t="shared" ref="AB17" si="80">Y17+S17+M17</f>
        <v>14</v>
      </c>
      <c r="AC17" s="36">
        <f t="shared" ref="AC17" si="81">AB17/((M17/O17)+(S17/U17)+(Y17/AA17))</f>
        <v>1.5555555555555556</v>
      </c>
      <c r="AD17" s="36">
        <v>9</v>
      </c>
      <c r="AE17" s="25">
        <v>100</v>
      </c>
      <c r="AF17" s="25">
        <v>45</v>
      </c>
      <c r="AG17" s="37">
        <v>0.1</v>
      </c>
      <c r="AH17" s="37">
        <v>0</v>
      </c>
      <c r="AI17" s="37">
        <v>20</v>
      </c>
      <c r="AJ17" s="37">
        <v>3</v>
      </c>
      <c r="AK17" s="36">
        <v>5</v>
      </c>
      <c r="AL17" s="30">
        <v>5000</v>
      </c>
      <c r="AM17" s="30">
        <v>30</v>
      </c>
      <c r="AN17" s="30">
        <v>30</v>
      </c>
      <c r="AO17" s="30">
        <v>30</v>
      </c>
      <c r="AP17" s="30">
        <v>2</v>
      </c>
      <c r="AQ17" s="30">
        <v>10</v>
      </c>
      <c r="AR17" s="30">
        <v>150000</v>
      </c>
      <c r="AS17" s="30">
        <v>0.25</v>
      </c>
      <c r="AT17" s="30">
        <v>150000</v>
      </c>
      <c r="AU17" s="30">
        <v>0.2</v>
      </c>
      <c r="AV17" s="30">
        <v>150000</v>
      </c>
      <c r="AW17" s="30">
        <v>0.2</v>
      </c>
      <c r="AX17" s="30">
        <v>150000</v>
      </c>
      <c r="AY17" s="30">
        <v>0.2</v>
      </c>
      <c r="AZ17" s="30">
        <v>150000</v>
      </c>
      <c r="BA17" s="30">
        <v>0.2</v>
      </c>
      <c r="BB17" s="30">
        <v>150000</v>
      </c>
      <c r="BC17" s="30">
        <v>0.2</v>
      </c>
      <c r="BD17" s="30">
        <v>40000</v>
      </c>
      <c r="BE17" s="30">
        <v>4</v>
      </c>
      <c r="BF17" s="30">
        <v>150000</v>
      </c>
      <c r="BG17" s="30">
        <v>0.25</v>
      </c>
      <c r="BH17" s="33">
        <v>20000</v>
      </c>
      <c r="BI17" s="10">
        <f t="shared" ref="BI17" si="82">(AR17*AS17)+(AT17*AU17)+(AV17*AW17)+(AX17*AY17)+(AZ17*BA17)+(BB17*BC17)+(BD17*BE17)+(BF17*BG17)+BH17</f>
        <v>405000</v>
      </c>
      <c r="BJ17" s="10">
        <f t="shared" ref="BJ17" si="83">_xlfn.IFS(E17=1,M17,E17=2,S17,E17=3,Y17)</f>
        <v>10</v>
      </c>
      <c r="BK17" s="10">
        <f t="shared" ref="BK17" si="84">BJ17*AL17</f>
        <v>50000</v>
      </c>
      <c r="BL17" s="19">
        <f t="shared" ref="BL17" si="85">_xlfn.IFS(D17=2,0.5,D17=3,0.75,D17=4,0.875, D17=5,0.9375, D17=6, 0.96875, D17=7, 0.984375, D17="DH", 1)</f>
        <v>1</v>
      </c>
      <c r="BM17" s="19">
        <f t="shared" ref="BM17" si="86">_xlfn.IFS(D17&lt;&gt;"DH", (D17-1)*AJ17,D17="DH",AI17)</f>
        <v>20</v>
      </c>
      <c r="BN17" s="12">
        <f t="shared" ref="BN17" si="87">P17/AG17</f>
        <v>2000</v>
      </c>
      <c r="BO17" s="19">
        <f t="shared" ref="BO17" si="88">_xlfn.IFS(E17=1,0,E17=2,1,E17=3,1)</f>
        <v>1</v>
      </c>
      <c r="BP17" s="19">
        <f t="shared" ref="BP17" si="89">_xlfn.IFS(E17=1,0,E17=2,0,E17=3,1)</f>
        <v>0</v>
      </c>
      <c r="BQ17" s="53">
        <f t="shared" si="50"/>
        <v>0.4</v>
      </c>
      <c r="BR17" s="53">
        <f t="shared" ref="BR17" si="90">BQ17^0.5</f>
        <v>0.63245553203367588</v>
      </c>
      <c r="BS17" s="13">
        <f t="shared" ref="BS17" si="91">(Q17/P17)</f>
        <v>0.1</v>
      </c>
      <c r="BT17" s="55">
        <f t="shared" si="51"/>
        <v>0.10247438140464883</v>
      </c>
      <c r="BU17" s="55">
        <f t="shared" si="52"/>
        <v>1.7433824661333783</v>
      </c>
      <c r="BV17" s="53">
        <f t="shared" si="14"/>
        <v>0.8057210965435041</v>
      </c>
      <c r="BW17" s="53">
        <f t="shared" ref="BW17" si="92">SQRT(BV17)</f>
        <v>0.89761968368764289</v>
      </c>
      <c r="BX17" s="13">
        <f t="shared" si="16"/>
        <v>20</v>
      </c>
      <c r="BY17" s="13">
        <f t="shared" si="17"/>
        <v>0.5</v>
      </c>
      <c r="BZ17" s="55">
        <f t="shared" si="53"/>
        <v>0.51851851851851849</v>
      </c>
      <c r="CA17" s="55">
        <f t="shared" si="54"/>
        <v>0.76855962325011251</v>
      </c>
      <c r="CB17" s="53">
        <f t="shared" si="18"/>
        <v>0.81412253374870192</v>
      </c>
      <c r="CC17" s="53">
        <f t="shared" ref="CC17" si="93">CB17^0.5</f>
        <v>0.90228738977595269</v>
      </c>
      <c r="CD17" s="13">
        <f t="shared" si="20"/>
        <v>10</v>
      </c>
      <c r="CE17" s="13">
        <f t="shared" si="21"/>
        <v>0.9</v>
      </c>
      <c r="CF17" s="55">
        <f t="shared" si="55"/>
        <v>0.90909090909090917</v>
      </c>
      <c r="CG17" s="55">
        <f t="shared" si="56"/>
        <v>0.17996765351871488</v>
      </c>
      <c r="CH17" s="57">
        <f t="shared" si="22"/>
        <v>1.1026118851565676</v>
      </c>
      <c r="CI17" s="14">
        <f t="shared" si="23"/>
        <v>0.68987424591685997</v>
      </c>
      <c r="CJ17" s="14">
        <f t="shared" si="57"/>
        <v>0</v>
      </c>
      <c r="CK17" s="10">
        <f t="shared" si="24"/>
        <v>40000</v>
      </c>
      <c r="CL17" s="10">
        <f t="shared" si="25"/>
        <v>10000</v>
      </c>
      <c r="CM17" s="11">
        <f t="shared" si="26"/>
        <v>4000</v>
      </c>
      <c r="CN17" s="11">
        <f t="shared" ref="CN17" si="94">CK17+CL17+CM17</f>
        <v>54000</v>
      </c>
      <c r="CO17" s="11">
        <f t="shared" si="28"/>
        <v>2000</v>
      </c>
      <c r="CP17" s="11">
        <f t="shared" si="29"/>
        <v>600</v>
      </c>
      <c r="CQ17" s="11">
        <f t="shared" si="30"/>
        <v>18000</v>
      </c>
      <c r="CR17" s="11">
        <f t="shared" si="31"/>
        <v>18000</v>
      </c>
      <c r="CS17" s="11">
        <f t="shared" si="32"/>
        <v>6000</v>
      </c>
      <c r="CT17" s="11">
        <f t="shared" ref="CT17" si="95">CQ17+CR17+CO17+CS17</f>
        <v>44000</v>
      </c>
      <c r="CU17" s="11">
        <f t="shared" si="34"/>
        <v>400</v>
      </c>
      <c r="CV17" s="11">
        <f t="shared" si="35"/>
        <v>12000</v>
      </c>
      <c r="CW17" s="11">
        <f t="shared" si="36"/>
        <v>6000</v>
      </c>
      <c r="CX17" s="11">
        <f t="shared" ref="CX17" si="96">CV17+CW17</f>
        <v>18000</v>
      </c>
      <c r="CY17" s="11">
        <f t="shared" si="38"/>
        <v>0</v>
      </c>
      <c r="CZ17" s="11">
        <f t="shared" si="39"/>
        <v>0</v>
      </c>
      <c r="DA17" s="11">
        <f t="shared" si="40"/>
        <v>0</v>
      </c>
      <c r="DB17" s="11">
        <f t="shared" ref="DB17" si="97">CZ17+DA17</f>
        <v>0</v>
      </c>
      <c r="DC17" s="27">
        <f t="shared" si="42"/>
        <v>166000</v>
      </c>
      <c r="DD17" s="28">
        <f t="shared" si="43"/>
        <v>571000</v>
      </c>
      <c r="DE17" s="28">
        <f t="shared" ref="DE17" si="98">DD17*1.25</f>
        <v>713750</v>
      </c>
      <c r="DF17" s="28">
        <f t="shared" si="45"/>
        <v>2141250</v>
      </c>
      <c r="DG17" s="15">
        <f t="shared" ref="DG17" si="99">CH17+CI17+CJ17</f>
        <v>1.7924861310734275</v>
      </c>
      <c r="DH17" s="48">
        <f t="shared" si="47"/>
        <v>0.59749537702447586</v>
      </c>
      <c r="DI17" s="17">
        <f t="shared" ref="DI17" si="100">DF17/DG17</f>
        <v>1194569.9120794402</v>
      </c>
    </row>
  </sheetData>
  <sortState xmlns:xlrd2="http://schemas.microsoft.com/office/spreadsheetml/2017/richdata2" ref="A2:DI16">
    <sortCondition ref="B2:B1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110"/>
  <sheetViews>
    <sheetView tabSelected="1" topLeftCell="A6" workbookViewId="0">
      <selection activeCell="A9" sqref="A9"/>
    </sheetView>
  </sheetViews>
  <sheetFormatPr defaultColWidth="8.77734375" defaultRowHeight="30.3" customHeight="1" x14ac:dyDescent="0.25"/>
  <cols>
    <col min="1" max="1" width="196.44140625" style="1" customWidth="1"/>
    <col min="2" max="16384" width="8.77734375" style="1"/>
  </cols>
  <sheetData>
    <row r="1" spans="1:1" ht="30.3" customHeight="1" x14ac:dyDescent="0.25">
      <c r="A1" s="6" t="s">
        <v>7</v>
      </c>
    </row>
    <row r="2" spans="1:1" ht="62.55" customHeight="1" x14ac:dyDescent="0.25">
      <c r="A2" s="11" t="s">
        <v>75</v>
      </c>
    </row>
    <row r="3" spans="1:1" ht="22.2" customHeight="1" x14ac:dyDescent="0.25">
      <c r="A3" s="16" t="s">
        <v>92</v>
      </c>
    </row>
    <row r="4" spans="1:1" ht="30.3" customHeight="1" x14ac:dyDescent="0.25">
      <c r="A4" s="6" t="s">
        <v>10</v>
      </c>
    </row>
    <row r="5" spans="1:1" ht="62.25" customHeight="1" x14ac:dyDescent="0.25">
      <c r="A5" s="2" t="s">
        <v>56</v>
      </c>
    </row>
    <row r="6" spans="1:1" ht="62.25" customHeight="1" x14ac:dyDescent="0.25">
      <c r="A6" s="2"/>
    </row>
    <row r="7" spans="1:1" s="6" customFormat="1" ht="44.4" customHeight="1" x14ac:dyDescent="0.25">
      <c r="A7" s="6" t="s">
        <v>247</v>
      </c>
    </row>
    <row r="8" spans="1:1" s="6" customFormat="1" ht="44.4" customHeight="1" x14ac:dyDescent="0.25">
      <c r="A8" s="11" t="s">
        <v>248</v>
      </c>
    </row>
    <row r="9" spans="1:1" s="6" customFormat="1" ht="44.4" customHeight="1" x14ac:dyDescent="0.25"/>
    <row r="10" spans="1:1" ht="33.6" customHeight="1" x14ac:dyDescent="0.25">
      <c r="A10" s="6" t="s">
        <v>191</v>
      </c>
    </row>
    <row r="11" spans="1:1" ht="49.2" customHeight="1" x14ac:dyDescent="0.25">
      <c r="A11" s="11" t="s">
        <v>192</v>
      </c>
    </row>
    <row r="12" spans="1:1" s="58" customFormat="1" ht="33.6" customHeight="1" x14ac:dyDescent="0.25">
      <c r="A12" s="19" t="s">
        <v>193</v>
      </c>
    </row>
    <row r="13" spans="1:1" s="58" customFormat="1" ht="33.6" customHeight="1" x14ac:dyDescent="0.25">
      <c r="A13" s="19" t="s">
        <v>194</v>
      </c>
    </row>
    <row r="14" spans="1:1" s="58" customFormat="1" ht="33.6" customHeight="1" x14ac:dyDescent="0.25">
      <c r="A14" s="19" t="s">
        <v>195</v>
      </c>
    </row>
    <row r="15" spans="1:1" s="58" customFormat="1" ht="33.6" customHeight="1" x14ac:dyDescent="0.25">
      <c r="A15" s="19" t="s">
        <v>197</v>
      </c>
    </row>
    <row r="16" spans="1:1" s="58" customFormat="1" ht="22.2" customHeight="1" x14ac:dyDescent="0.25">
      <c r="A16" s="59"/>
    </row>
    <row r="17" spans="1:1" s="58" customFormat="1" ht="27" customHeight="1" x14ac:dyDescent="0.25">
      <c r="A17" s="50" t="s">
        <v>9</v>
      </c>
    </row>
    <row r="18" spans="1:1" s="58" customFormat="1" ht="27" customHeight="1" x14ac:dyDescent="0.25">
      <c r="A18" s="60" t="s">
        <v>134</v>
      </c>
    </row>
    <row r="19" spans="1:1" s="58" customFormat="1" ht="27" customHeight="1" x14ac:dyDescent="0.25">
      <c r="A19" s="60" t="s">
        <v>135</v>
      </c>
    </row>
    <row r="20" spans="1:1" s="58" customFormat="1" ht="27" customHeight="1" x14ac:dyDescent="0.25">
      <c r="A20" s="60" t="s">
        <v>196</v>
      </c>
    </row>
    <row r="21" spans="1:1" s="58" customFormat="1" ht="51.45" customHeight="1" x14ac:dyDescent="0.25">
      <c r="A21" s="60" t="s">
        <v>136</v>
      </c>
    </row>
    <row r="22" spans="1:1" s="58" customFormat="1" ht="51.45" customHeight="1" x14ac:dyDescent="0.25">
      <c r="A22" s="60" t="s">
        <v>137</v>
      </c>
    </row>
    <row r="23" spans="1:1" s="58" customFormat="1" ht="51.45" customHeight="1" x14ac:dyDescent="0.25">
      <c r="A23" s="60" t="s">
        <v>198</v>
      </c>
    </row>
    <row r="24" spans="1:1" s="62" customFormat="1" ht="48.3" customHeight="1" x14ac:dyDescent="0.25">
      <c r="A24" s="61" t="s">
        <v>138</v>
      </c>
    </row>
    <row r="25" spans="1:1" s="62" customFormat="1" ht="48.3" customHeight="1" x14ac:dyDescent="0.25">
      <c r="A25" s="61" t="s">
        <v>147</v>
      </c>
    </row>
    <row r="26" spans="1:1" s="58" customFormat="1" ht="44.25" customHeight="1" x14ac:dyDescent="0.25">
      <c r="A26" s="19" t="s">
        <v>148</v>
      </c>
    </row>
    <row r="27" spans="1:1" s="58" customFormat="1" ht="44.25" customHeight="1" x14ac:dyDescent="0.25">
      <c r="A27" s="19" t="s">
        <v>149</v>
      </c>
    </row>
    <row r="28" spans="1:1" s="58" customFormat="1" ht="44.25" customHeight="1" x14ac:dyDescent="0.25">
      <c r="A28" s="19" t="s">
        <v>150</v>
      </c>
    </row>
    <row r="29" spans="1:1" s="58" customFormat="1" ht="44.25" customHeight="1" x14ac:dyDescent="0.25">
      <c r="A29" s="60" t="s">
        <v>151</v>
      </c>
    </row>
    <row r="30" spans="1:1" s="58" customFormat="1" ht="44.25" customHeight="1" x14ac:dyDescent="0.25">
      <c r="A30" s="60" t="s">
        <v>152</v>
      </c>
    </row>
    <row r="31" spans="1:1" s="58" customFormat="1" ht="44.25" customHeight="1" x14ac:dyDescent="0.25">
      <c r="A31" s="60" t="s">
        <v>154</v>
      </c>
    </row>
    <row r="32" spans="1:1" s="58" customFormat="1" ht="44.25" customHeight="1" x14ac:dyDescent="0.25">
      <c r="A32" s="60" t="s">
        <v>155</v>
      </c>
    </row>
    <row r="33" spans="1:1" s="58" customFormat="1" ht="30.3" customHeight="1" x14ac:dyDescent="0.25">
      <c r="A33" s="19" t="s">
        <v>177</v>
      </c>
    </row>
    <row r="34" spans="1:1" s="58" customFormat="1" ht="44.25" customHeight="1" x14ac:dyDescent="0.25">
      <c r="A34" s="60" t="s">
        <v>178</v>
      </c>
    </row>
    <row r="35" spans="1:1" s="58" customFormat="1" ht="44.25" customHeight="1" x14ac:dyDescent="0.25">
      <c r="A35" s="60" t="s">
        <v>156</v>
      </c>
    </row>
    <row r="36" spans="1:1" s="58" customFormat="1" ht="44.25" customHeight="1" x14ac:dyDescent="0.25">
      <c r="A36" s="60" t="s">
        <v>157</v>
      </c>
    </row>
    <row r="37" spans="1:1" s="58" customFormat="1" ht="30.3" customHeight="1" x14ac:dyDescent="0.25">
      <c r="A37" s="19" t="s">
        <v>179</v>
      </c>
    </row>
    <row r="38" spans="1:1" s="58" customFormat="1" ht="30.3" customHeight="1" x14ac:dyDescent="0.25">
      <c r="A38" s="60" t="s">
        <v>158</v>
      </c>
    </row>
    <row r="39" spans="1:1" s="58" customFormat="1" ht="30.3" customHeight="1" x14ac:dyDescent="0.25">
      <c r="A39" s="60" t="s">
        <v>199</v>
      </c>
    </row>
    <row r="40" spans="1:1" s="58" customFormat="1" ht="42.3" customHeight="1" x14ac:dyDescent="0.25">
      <c r="A40" s="60" t="s">
        <v>159</v>
      </c>
    </row>
    <row r="41" spans="1:1" s="58" customFormat="1" ht="42.3" customHeight="1" x14ac:dyDescent="0.25">
      <c r="A41" s="60" t="s">
        <v>160</v>
      </c>
    </row>
    <row r="42" spans="1:1" s="58" customFormat="1" ht="42.3" customHeight="1" x14ac:dyDescent="0.25">
      <c r="A42" s="60" t="s">
        <v>175</v>
      </c>
    </row>
    <row r="43" spans="1:1" s="58" customFormat="1" ht="42.3" customHeight="1" x14ac:dyDescent="0.25">
      <c r="A43" s="60" t="s">
        <v>200</v>
      </c>
    </row>
    <row r="44" spans="1:1" s="60" customFormat="1" ht="30.3" customHeight="1" x14ac:dyDescent="0.25">
      <c r="A44" s="60" t="s">
        <v>161</v>
      </c>
    </row>
    <row r="45" spans="1:1" s="58" customFormat="1" ht="30.3" customHeight="1" x14ac:dyDescent="0.25">
      <c r="A45" s="60" t="s">
        <v>176</v>
      </c>
    </row>
    <row r="46" spans="1:1" s="58" customFormat="1" ht="30.3" customHeight="1" x14ac:dyDescent="0.25">
      <c r="A46" s="60" t="s">
        <v>162</v>
      </c>
    </row>
    <row r="47" spans="1:1" s="58" customFormat="1" ht="30.3" customHeight="1" x14ac:dyDescent="0.25">
      <c r="A47" s="60" t="s">
        <v>163</v>
      </c>
    </row>
    <row r="48" spans="1:1" s="58" customFormat="1" ht="30.3" customHeight="1" x14ac:dyDescent="0.25">
      <c r="A48" s="60" t="s">
        <v>164</v>
      </c>
    </row>
    <row r="49" spans="1:1" s="58" customFormat="1" ht="30.3" customHeight="1" x14ac:dyDescent="0.25">
      <c r="A49" s="60" t="s">
        <v>165</v>
      </c>
    </row>
    <row r="50" spans="1:1" s="58" customFormat="1" ht="30.3" customHeight="1" x14ac:dyDescent="0.25">
      <c r="A50" s="60" t="s">
        <v>166</v>
      </c>
    </row>
    <row r="51" spans="1:1" s="58" customFormat="1" ht="30.3" customHeight="1" x14ac:dyDescent="0.25">
      <c r="A51" s="60" t="s">
        <v>167</v>
      </c>
    </row>
    <row r="52" spans="1:1" s="58" customFormat="1" ht="30.3" customHeight="1" x14ac:dyDescent="0.25">
      <c r="A52" s="60" t="s">
        <v>173</v>
      </c>
    </row>
    <row r="53" spans="1:1" s="58" customFormat="1" ht="30.3" customHeight="1" x14ac:dyDescent="0.25">
      <c r="A53" s="50" t="s">
        <v>246</v>
      </c>
    </row>
    <row r="54" spans="1:1" s="58" customFormat="1" ht="30.3" customHeight="1" x14ac:dyDescent="0.25">
      <c r="A54" s="60" t="s">
        <v>174</v>
      </c>
    </row>
    <row r="55" spans="1:1" s="58" customFormat="1" ht="30.3" customHeight="1" x14ac:dyDescent="0.25">
      <c r="A55" s="60" t="s">
        <v>168</v>
      </c>
    </row>
    <row r="56" spans="1:1" s="58" customFormat="1" ht="30.3" customHeight="1" x14ac:dyDescent="0.25">
      <c r="A56" s="60" t="s">
        <v>181</v>
      </c>
    </row>
    <row r="57" spans="1:1" s="58" customFormat="1" ht="30.3" customHeight="1" x14ac:dyDescent="0.25">
      <c r="A57" s="60" t="s">
        <v>169</v>
      </c>
    </row>
    <row r="58" spans="1:1" s="58" customFormat="1" ht="30.3" customHeight="1" x14ac:dyDescent="0.25">
      <c r="A58" s="60" t="s">
        <v>180</v>
      </c>
    </row>
    <row r="59" spans="1:1" s="58" customFormat="1" ht="30.3" customHeight="1" x14ac:dyDescent="0.25">
      <c r="A59" s="60" t="s">
        <v>182</v>
      </c>
    </row>
    <row r="60" spans="1:1" s="58" customFormat="1" ht="30.3" customHeight="1" x14ac:dyDescent="0.25">
      <c r="A60" s="60" t="s">
        <v>170</v>
      </c>
    </row>
    <row r="61" spans="1:1" s="58" customFormat="1" ht="30.3" customHeight="1" x14ac:dyDescent="0.25">
      <c r="A61" s="60" t="s">
        <v>171</v>
      </c>
    </row>
    <row r="62" spans="1:1" s="58" customFormat="1" ht="30.3" customHeight="1" x14ac:dyDescent="0.25">
      <c r="A62" s="60" t="s">
        <v>204</v>
      </c>
    </row>
    <row r="63" spans="1:1" s="58" customFormat="1" ht="30.3" customHeight="1" x14ac:dyDescent="0.25">
      <c r="A63" s="60" t="s">
        <v>183</v>
      </c>
    </row>
    <row r="64" spans="1:1" s="58" customFormat="1" ht="30.3" customHeight="1" x14ac:dyDescent="0.25">
      <c r="A64" s="60" t="s">
        <v>202</v>
      </c>
    </row>
    <row r="65" spans="1:1" s="58" customFormat="1" ht="30.3" customHeight="1" x14ac:dyDescent="0.25">
      <c r="A65" s="60" t="s">
        <v>201</v>
      </c>
    </row>
    <row r="66" spans="1:1" s="58" customFormat="1" ht="30.3" customHeight="1" x14ac:dyDescent="0.25">
      <c r="A66" s="60" t="s">
        <v>203</v>
      </c>
    </row>
    <row r="67" spans="1:1" s="58" customFormat="1" ht="30.3" customHeight="1" x14ac:dyDescent="0.25">
      <c r="A67" s="60" t="s">
        <v>205</v>
      </c>
    </row>
    <row r="68" spans="1:1" s="58" customFormat="1" ht="30.3" customHeight="1" x14ac:dyDescent="0.25">
      <c r="A68" s="60" t="s">
        <v>206</v>
      </c>
    </row>
    <row r="69" spans="1:1" s="58" customFormat="1" ht="30.3" customHeight="1" x14ac:dyDescent="0.25">
      <c r="A69" s="60" t="s">
        <v>207</v>
      </c>
    </row>
    <row r="70" spans="1:1" s="58" customFormat="1" ht="30.3" customHeight="1" x14ac:dyDescent="0.25">
      <c r="A70" s="60" t="s">
        <v>208</v>
      </c>
    </row>
    <row r="71" spans="1:1" s="58" customFormat="1" ht="30.3" customHeight="1" x14ac:dyDescent="0.25">
      <c r="A71" s="60" t="s">
        <v>209</v>
      </c>
    </row>
    <row r="72" spans="1:1" s="58" customFormat="1" ht="30.3" customHeight="1" x14ac:dyDescent="0.25">
      <c r="A72" s="60" t="s">
        <v>210</v>
      </c>
    </row>
    <row r="73" spans="1:1" s="58" customFormat="1" ht="30.3" customHeight="1" x14ac:dyDescent="0.25">
      <c r="A73" s="60" t="s">
        <v>211</v>
      </c>
    </row>
    <row r="74" spans="1:1" s="58" customFormat="1" ht="30.3" customHeight="1" x14ac:dyDescent="0.25">
      <c r="A74" s="60" t="s">
        <v>212</v>
      </c>
    </row>
    <row r="75" spans="1:1" s="58" customFormat="1" ht="30.3" customHeight="1" x14ac:dyDescent="0.25">
      <c r="A75" s="60" t="s">
        <v>213</v>
      </c>
    </row>
    <row r="76" spans="1:1" s="58" customFormat="1" ht="30.3" customHeight="1" x14ac:dyDescent="0.25">
      <c r="A76" s="60" t="s">
        <v>214</v>
      </c>
    </row>
    <row r="77" spans="1:1" s="58" customFormat="1" ht="30.3" customHeight="1" x14ac:dyDescent="0.25">
      <c r="A77" s="60" t="s">
        <v>215</v>
      </c>
    </row>
    <row r="78" spans="1:1" s="58" customFormat="1" ht="30.3" customHeight="1" x14ac:dyDescent="0.25">
      <c r="A78" s="60" t="s">
        <v>216</v>
      </c>
    </row>
    <row r="79" spans="1:1" s="58" customFormat="1" ht="30.3" customHeight="1" x14ac:dyDescent="0.25">
      <c r="A79" s="60" t="s">
        <v>217</v>
      </c>
    </row>
    <row r="80" spans="1:1" s="58" customFormat="1" ht="30.3" customHeight="1" x14ac:dyDescent="0.25">
      <c r="A80" s="60" t="s">
        <v>218</v>
      </c>
    </row>
    <row r="81" spans="1:1" s="58" customFormat="1" ht="30.3" customHeight="1" x14ac:dyDescent="0.25">
      <c r="A81" s="60" t="s">
        <v>219</v>
      </c>
    </row>
    <row r="82" spans="1:1" s="58" customFormat="1" ht="30.3" customHeight="1" x14ac:dyDescent="0.25">
      <c r="A82" s="60" t="s">
        <v>220</v>
      </c>
    </row>
    <row r="83" spans="1:1" s="58" customFormat="1" ht="30.3" customHeight="1" x14ac:dyDescent="0.25">
      <c r="A83" s="60" t="s">
        <v>221</v>
      </c>
    </row>
    <row r="84" spans="1:1" s="58" customFormat="1" ht="30.3" customHeight="1" x14ac:dyDescent="0.25">
      <c r="A84" s="60" t="s">
        <v>222</v>
      </c>
    </row>
    <row r="85" spans="1:1" s="58" customFormat="1" ht="30.3" customHeight="1" x14ac:dyDescent="0.25">
      <c r="A85" s="60" t="s">
        <v>223</v>
      </c>
    </row>
    <row r="86" spans="1:1" s="58" customFormat="1" ht="30.3" customHeight="1" x14ac:dyDescent="0.25">
      <c r="A86" s="60" t="s">
        <v>225</v>
      </c>
    </row>
    <row r="87" spans="1:1" s="58" customFormat="1" ht="30.3" customHeight="1" x14ac:dyDescent="0.25">
      <c r="A87" s="60" t="s">
        <v>226</v>
      </c>
    </row>
    <row r="88" spans="1:1" s="58" customFormat="1" ht="30.3" customHeight="1" x14ac:dyDescent="0.25">
      <c r="A88" s="60" t="s">
        <v>227</v>
      </c>
    </row>
    <row r="89" spans="1:1" s="58" customFormat="1" ht="30.3" customHeight="1" x14ac:dyDescent="0.25">
      <c r="A89" s="60" t="s">
        <v>228</v>
      </c>
    </row>
    <row r="90" spans="1:1" s="58" customFormat="1" ht="30.3" customHeight="1" x14ac:dyDescent="0.25">
      <c r="A90" s="60" t="s">
        <v>229</v>
      </c>
    </row>
    <row r="91" spans="1:1" s="58" customFormat="1" ht="30.3" customHeight="1" x14ac:dyDescent="0.25">
      <c r="A91" s="60" t="s">
        <v>230</v>
      </c>
    </row>
    <row r="92" spans="1:1" s="58" customFormat="1" ht="30.3" customHeight="1" x14ac:dyDescent="0.25">
      <c r="A92" s="60" t="s">
        <v>231</v>
      </c>
    </row>
    <row r="93" spans="1:1" s="58" customFormat="1" ht="30.3" customHeight="1" x14ac:dyDescent="0.25">
      <c r="A93" s="60" t="s">
        <v>232</v>
      </c>
    </row>
    <row r="94" spans="1:1" s="58" customFormat="1" ht="30.3" customHeight="1" x14ac:dyDescent="0.25">
      <c r="A94" s="60" t="s">
        <v>233</v>
      </c>
    </row>
    <row r="95" spans="1:1" s="58" customFormat="1" ht="30.3" customHeight="1" x14ac:dyDescent="0.25">
      <c r="A95" s="60" t="s">
        <v>234</v>
      </c>
    </row>
    <row r="96" spans="1:1" s="58" customFormat="1" ht="30.3" customHeight="1" x14ac:dyDescent="0.25">
      <c r="A96" s="60" t="s">
        <v>235</v>
      </c>
    </row>
    <row r="97" spans="1:1" s="58" customFormat="1" ht="30.3" customHeight="1" x14ac:dyDescent="0.25">
      <c r="A97" s="60" t="s">
        <v>236</v>
      </c>
    </row>
    <row r="98" spans="1:1" s="58" customFormat="1" ht="30.3" customHeight="1" x14ac:dyDescent="0.25">
      <c r="A98" s="60" t="s">
        <v>237</v>
      </c>
    </row>
    <row r="99" spans="1:1" s="58" customFormat="1" ht="30.3" customHeight="1" x14ac:dyDescent="0.25">
      <c r="A99" s="60" t="s">
        <v>238</v>
      </c>
    </row>
    <row r="100" spans="1:1" s="58" customFormat="1" ht="30.3" customHeight="1" x14ac:dyDescent="0.25">
      <c r="A100" s="60" t="s">
        <v>239</v>
      </c>
    </row>
    <row r="101" spans="1:1" s="58" customFormat="1" ht="30.3" customHeight="1" x14ac:dyDescent="0.25">
      <c r="A101" s="60" t="s">
        <v>240</v>
      </c>
    </row>
    <row r="102" spans="1:1" s="58" customFormat="1" ht="30.3" customHeight="1" x14ac:dyDescent="0.25">
      <c r="A102" s="60" t="s">
        <v>241</v>
      </c>
    </row>
    <row r="103" spans="1:1" s="58" customFormat="1" ht="30.3" customHeight="1" x14ac:dyDescent="0.25">
      <c r="A103" s="60" t="s">
        <v>242</v>
      </c>
    </row>
    <row r="104" spans="1:1" ht="30.3" customHeight="1" x14ac:dyDescent="0.25">
      <c r="A104" s="7" t="s">
        <v>245</v>
      </c>
    </row>
    <row r="105" spans="1:1" ht="30.3" customHeight="1" x14ac:dyDescent="0.25">
      <c r="A105" s="7" t="s">
        <v>244</v>
      </c>
    </row>
    <row r="106" spans="1:1" ht="30.3" customHeight="1" x14ac:dyDescent="0.25">
      <c r="A106" s="7" t="s">
        <v>243</v>
      </c>
    </row>
    <row r="110" spans="1:1" ht="30.3" customHeight="1" x14ac:dyDescent="0.25">
      <c r="A110" s="6" t="s">
        <v>92</v>
      </c>
    </row>
  </sheetData>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23"/>
  <sheetViews>
    <sheetView workbookViewId="0"/>
  </sheetViews>
  <sheetFormatPr defaultColWidth="11.44140625" defaultRowHeight="13.2" x14ac:dyDescent="0.25"/>
  <cols>
    <col min="1" max="4" width="8.77734375" customWidth="1"/>
    <col min="5" max="5" width="11.109375" customWidth="1"/>
    <col min="6" max="6" width="8.77734375" customWidth="1"/>
    <col min="7" max="7" width="22.33203125" customWidth="1"/>
    <col min="8" max="8" width="14.77734375" customWidth="1"/>
    <col min="9" max="9" width="11.109375" customWidth="1"/>
    <col min="10" max="10" width="8.77734375" customWidth="1"/>
    <col min="11" max="11" width="22.33203125" customWidth="1"/>
    <col min="12" max="14" width="8.77734375" customWidth="1"/>
    <col min="15" max="15" width="16.77734375" customWidth="1"/>
    <col min="16" max="256" width="8.77734375" customWidth="1"/>
  </cols>
  <sheetData>
    <row r="1" spans="1:72" s="1" customFormat="1" ht="48" customHeight="1" x14ac:dyDescent="0.25">
      <c r="A1" s="1" t="s">
        <v>93</v>
      </c>
      <c r="B1" s="18">
        <v>1</v>
      </c>
      <c r="C1" s="18"/>
      <c r="E1" s="1" t="s">
        <v>93</v>
      </c>
      <c r="F1" s="18">
        <v>1</v>
      </c>
      <c r="G1" s="18"/>
      <c r="H1" s="18"/>
      <c r="I1" s="1" t="s">
        <v>93</v>
      </c>
      <c r="J1" s="18">
        <v>1</v>
      </c>
      <c r="K1" s="18"/>
      <c r="L1" s="18"/>
      <c r="M1" s="1" t="s">
        <v>93</v>
      </c>
      <c r="N1" s="18">
        <v>1</v>
      </c>
      <c r="O1" s="18"/>
      <c r="Q1" s="1" t="s">
        <v>93</v>
      </c>
      <c r="R1" s="18">
        <v>1</v>
      </c>
      <c r="S1" s="18"/>
      <c r="U1" s="1" t="s">
        <v>93</v>
      </c>
      <c r="V1" s="18">
        <v>1</v>
      </c>
      <c r="W1" s="18"/>
      <c r="Z1" s="1" t="s">
        <v>93</v>
      </c>
      <c r="AA1" s="18">
        <v>2</v>
      </c>
      <c r="AB1" s="18"/>
      <c r="AD1" s="1" t="s">
        <v>93</v>
      </c>
      <c r="AE1" s="18">
        <v>2</v>
      </c>
      <c r="AF1" s="18"/>
      <c r="AH1" s="1" t="s">
        <v>93</v>
      </c>
      <c r="AI1" s="18">
        <v>2</v>
      </c>
      <c r="AJ1" s="18"/>
      <c r="AK1" s="18"/>
      <c r="AL1" s="1" t="s">
        <v>93</v>
      </c>
      <c r="AM1" s="18">
        <v>2</v>
      </c>
      <c r="AN1" s="18"/>
      <c r="AP1" s="1" t="s">
        <v>93</v>
      </c>
      <c r="AQ1" s="18">
        <v>2</v>
      </c>
      <c r="AR1" s="18"/>
      <c r="AT1" s="1" t="s">
        <v>93</v>
      </c>
      <c r="AU1" s="18">
        <v>2</v>
      </c>
      <c r="AV1" s="18"/>
      <c r="AX1" s="1" t="s">
        <v>93</v>
      </c>
      <c r="AY1" s="18">
        <v>3</v>
      </c>
      <c r="AZ1" s="18"/>
      <c r="BA1" s="18"/>
      <c r="BB1" s="1" t="s">
        <v>93</v>
      </c>
      <c r="BC1" s="18">
        <v>3</v>
      </c>
      <c r="BD1" s="18"/>
      <c r="BF1" s="1" t="s">
        <v>93</v>
      </c>
      <c r="BG1" s="18">
        <v>3</v>
      </c>
      <c r="BH1" s="18"/>
      <c r="BI1" s="18"/>
      <c r="BJ1" s="1" t="s">
        <v>93</v>
      </c>
      <c r="BK1" s="18">
        <v>3</v>
      </c>
      <c r="BL1" s="18"/>
      <c r="BN1" s="1" t="s">
        <v>93</v>
      </c>
      <c r="BO1" s="18">
        <v>3</v>
      </c>
      <c r="BP1" s="18"/>
      <c r="BR1" s="1" t="s">
        <v>93</v>
      </c>
      <c r="BS1" s="18">
        <v>3</v>
      </c>
      <c r="BT1" s="18"/>
    </row>
    <row r="2" spans="1:72" s="1" customFormat="1" ht="35.549999999999997" customHeight="1" x14ac:dyDescent="0.25">
      <c r="A2" s="1" t="s">
        <v>94</v>
      </c>
      <c r="B2" s="18" t="s">
        <v>113</v>
      </c>
      <c r="C2" s="18"/>
      <c r="E2" s="1" t="s">
        <v>94</v>
      </c>
      <c r="F2" s="18" t="s">
        <v>129</v>
      </c>
      <c r="G2" s="18"/>
      <c r="H2" s="18"/>
      <c r="I2" s="1" t="s">
        <v>94</v>
      </c>
      <c r="J2" s="18" t="s">
        <v>95</v>
      </c>
      <c r="K2" s="18"/>
      <c r="L2" s="18"/>
      <c r="M2" s="1" t="s">
        <v>94</v>
      </c>
      <c r="N2" s="18" t="s">
        <v>96</v>
      </c>
      <c r="O2" s="18"/>
      <c r="Q2" s="1" t="s">
        <v>94</v>
      </c>
      <c r="R2" s="18" t="s">
        <v>111</v>
      </c>
      <c r="S2" s="18"/>
      <c r="U2" s="1" t="s">
        <v>94</v>
      </c>
      <c r="V2" s="18" t="s">
        <v>123</v>
      </c>
      <c r="W2" s="18"/>
      <c r="Z2" s="1" t="s">
        <v>94</v>
      </c>
      <c r="AA2" s="18" t="s">
        <v>113</v>
      </c>
      <c r="AB2" s="18"/>
      <c r="AD2" s="1" t="s">
        <v>94</v>
      </c>
      <c r="AE2" s="18" t="s">
        <v>129</v>
      </c>
      <c r="AF2" s="18"/>
      <c r="AH2" s="1" t="s">
        <v>94</v>
      </c>
      <c r="AI2" s="18" t="s">
        <v>95</v>
      </c>
      <c r="AJ2" s="18"/>
      <c r="AK2" s="18"/>
      <c r="AL2" s="1" t="s">
        <v>94</v>
      </c>
      <c r="AM2" s="18" t="s">
        <v>96</v>
      </c>
      <c r="AN2" s="18"/>
      <c r="AP2" s="1" t="s">
        <v>94</v>
      </c>
      <c r="AQ2" s="18" t="s">
        <v>111</v>
      </c>
      <c r="AR2" s="18"/>
      <c r="AT2" s="1" t="s">
        <v>94</v>
      </c>
      <c r="AU2" s="18" t="s">
        <v>123</v>
      </c>
      <c r="AV2" s="18"/>
      <c r="AX2" s="1" t="s">
        <v>94</v>
      </c>
      <c r="AY2" s="18" t="s">
        <v>113</v>
      </c>
      <c r="AZ2" s="18"/>
      <c r="BA2" s="18"/>
      <c r="BB2" s="1" t="s">
        <v>94</v>
      </c>
      <c r="BC2" s="18" t="s">
        <v>129</v>
      </c>
      <c r="BD2" s="18"/>
      <c r="BF2" s="1" t="s">
        <v>94</v>
      </c>
      <c r="BG2" s="18" t="s">
        <v>95</v>
      </c>
      <c r="BH2" s="18"/>
      <c r="BI2" s="18"/>
      <c r="BJ2" s="1" t="s">
        <v>94</v>
      </c>
      <c r="BK2" s="18" t="s">
        <v>96</v>
      </c>
      <c r="BL2" s="18"/>
      <c r="BN2" s="1" t="s">
        <v>94</v>
      </c>
      <c r="BO2" s="18" t="s">
        <v>111</v>
      </c>
      <c r="BP2" s="18"/>
      <c r="BR2" s="1" t="s">
        <v>94</v>
      </c>
      <c r="BS2" s="18" t="s">
        <v>123</v>
      </c>
      <c r="BT2" s="18"/>
    </row>
    <row r="4" spans="1:72" x14ac:dyDescent="0.25">
      <c r="A4" t="s">
        <v>78</v>
      </c>
      <c r="B4" t="s">
        <v>79</v>
      </c>
      <c r="C4" t="s">
        <v>80</v>
      </c>
      <c r="E4" t="s">
        <v>78</v>
      </c>
      <c r="F4" t="s">
        <v>79</v>
      </c>
      <c r="G4" t="s">
        <v>80</v>
      </c>
      <c r="I4" t="s">
        <v>78</v>
      </c>
      <c r="J4" t="s">
        <v>79</v>
      </c>
      <c r="K4" t="s">
        <v>80</v>
      </c>
      <c r="M4" t="s">
        <v>78</v>
      </c>
      <c r="N4" t="s">
        <v>79</v>
      </c>
      <c r="O4" t="s">
        <v>80</v>
      </c>
      <c r="Q4" t="s">
        <v>78</v>
      </c>
      <c r="R4" t="s">
        <v>79</v>
      </c>
      <c r="S4" t="s">
        <v>80</v>
      </c>
      <c r="U4" t="s">
        <v>78</v>
      </c>
      <c r="V4" t="s">
        <v>79</v>
      </c>
      <c r="W4" t="s">
        <v>80</v>
      </c>
      <c r="Z4" t="s">
        <v>78</v>
      </c>
      <c r="AA4" t="s">
        <v>79</v>
      </c>
      <c r="AB4" t="s">
        <v>80</v>
      </c>
      <c r="AD4" t="s">
        <v>78</v>
      </c>
      <c r="AE4" t="s">
        <v>79</v>
      </c>
      <c r="AF4" t="s">
        <v>80</v>
      </c>
      <c r="AH4" t="s">
        <v>78</v>
      </c>
      <c r="AI4" t="s">
        <v>79</v>
      </c>
      <c r="AJ4" t="s">
        <v>80</v>
      </c>
      <c r="AL4" t="s">
        <v>78</v>
      </c>
      <c r="AM4" t="s">
        <v>79</v>
      </c>
      <c r="AN4" t="s">
        <v>80</v>
      </c>
      <c r="AP4" t="s">
        <v>78</v>
      </c>
      <c r="AQ4" t="s">
        <v>79</v>
      </c>
      <c r="AR4" t="s">
        <v>80</v>
      </c>
      <c r="AT4" t="s">
        <v>78</v>
      </c>
      <c r="AU4" t="s">
        <v>79</v>
      </c>
      <c r="AV4" t="s">
        <v>80</v>
      </c>
      <c r="AX4" t="s">
        <v>78</v>
      </c>
      <c r="AY4" t="s">
        <v>79</v>
      </c>
      <c r="AZ4" t="s">
        <v>80</v>
      </c>
      <c r="BB4" t="s">
        <v>78</v>
      </c>
      <c r="BC4" t="s">
        <v>79</v>
      </c>
      <c r="BD4" t="s">
        <v>80</v>
      </c>
      <c r="BF4" t="s">
        <v>78</v>
      </c>
      <c r="BG4" t="s">
        <v>79</v>
      </c>
      <c r="BH4" t="s">
        <v>80</v>
      </c>
      <c r="BJ4" t="s">
        <v>78</v>
      </c>
      <c r="BK4" t="s">
        <v>79</v>
      </c>
      <c r="BL4" t="s">
        <v>80</v>
      </c>
      <c r="BN4" t="s">
        <v>78</v>
      </c>
      <c r="BO4" t="s">
        <v>79</v>
      </c>
      <c r="BP4" t="s">
        <v>80</v>
      </c>
      <c r="BR4" t="s">
        <v>78</v>
      </c>
      <c r="BS4" t="s">
        <v>79</v>
      </c>
      <c r="BT4" t="s">
        <v>80</v>
      </c>
    </row>
    <row r="5" spans="1:72" x14ac:dyDescent="0.25">
      <c r="A5">
        <v>1</v>
      </c>
      <c r="B5" t="s">
        <v>81</v>
      </c>
      <c r="C5" t="s">
        <v>82</v>
      </c>
      <c r="E5">
        <v>1</v>
      </c>
      <c r="F5" t="s">
        <v>81</v>
      </c>
      <c r="G5" t="s">
        <v>82</v>
      </c>
      <c r="I5">
        <v>1</v>
      </c>
      <c r="J5" t="s">
        <v>81</v>
      </c>
      <c r="K5" t="s">
        <v>82</v>
      </c>
      <c r="L5" t="s">
        <v>92</v>
      </c>
      <c r="M5">
        <v>1</v>
      </c>
      <c r="N5" t="s">
        <v>81</v>
      </c>
      <c r="O5" t="s">
        <v>82</v>
      </c>
      <c r="Q5">
        <v>1</v>
      </c>
      <c r="R5" t="s">
        <v>81</v>
      </c>
      <c r="S5" t="s">
        <v>82</v>
      </c>
      <c r="U5">
        <v>1</v>
      </c>
      <c r="V5" t="s">
        <v>81</v>
      </c>
      <c r="W5" t="s">
        <v>124</v>
      </c>
      <c r="Z5">
        <v>1</v>
      </c>
      <c r="AA5" t="s">
        <v>81</v>
      </c>
      <c r="AB5" t="s">
        <v>82</v>
      </c>
      <c r="AD5">
        <v>1</v>
      </c>
      <c r="AE5" t="s">
        <v>91</v>
      </c>
      <c r="AF5" t="s">
        <v>82</v>
      </c>
      <c r="AH5">
        <v>1</v>
      </c>
      <c r="AI5" t="s">
        <v>81</v>
      </c>
      <c r="AJ5" t="s">
        <v>82</v>
      </c>
      <c r="AK5" t="s">
        <v>92</v>
      </c>
      <c r="AL5">
        <v>1</v>
      </c>
      <c r="AM5" t="s">
        <v>91</v>
      </c>
      <c r="AN5" t="s">
        <v>82</v>
      </c>
      <c r="AP5">
        <v>1</v>
      </c>
      <c r="AQ5" t="s">
        <v>81</v>
      </c>
      <c r="AR5" t="s">
        <v>82</v>
      </c>
      <c r="AT5">
        <v>1</v>
      </c>
      <c r="AU5" t="s">
        <v>81</v>
      </c>
      <c r="AV5" t="s">
        <v>124</v>
      </c>
      <c r="AX5">
        <v>1</v>
      </c>
      <c r="AY5" t="s">
        <v>91</v>
      </c>
      <c r="AZ5" t="s">
        <v>82</v>
      </c>
      <c r="BB5">
        <v>1</v>
      </c>
      <c r="BC5" t="s">
        <v>91</v>
      </c>
      <c r="BD5" t="s">
        <v>82</v>
      </c>
      <c r="BF5">
        <v>1</v>
      </c>
      <c r="BG5" t="s">
        <v>81</v>
      </c>
      <c r="BH5" t="s">
        <v>82</v>
      </c>
      <c r="BI5" t="s">
        <v>92</v>
      </c>
      <c r="BJ5">
        <v>1</v>
      </c>
      <c r="BK5" t="s">
        <v>91</v>
      </c>
      <c r="BL5" t="s">
        <v>82</v>
      </c>
      <c r="BN5">
        <v>1</v>
      </c>
      <c r="BO5" t="s">
        <v>91</v>
      </c>
      <c r="BP5" t="s">
        <v>82</v>
      </c>
      <c r="BR5">
        <v>1</v>
      </c>
      <c r="BS5" t="s">
        <v>91</v>
      </c>
      <c r="BT5" t="s">
        <v>124</v>
      </c>
    </row>
    <row r="6" spans="1:72" x14ac:dyDescent="0.25">
      <c r="A6">
        <v>2</v>
      </c>
      <c r="B6" t="s">
        <v>81</v>
      </c>
      <c r="C6" t="s">
        <v>114</v>
      </c>
      <c r="E6">
        <v>2</v>
      </c>
      <c r="F6" t="s">
        <v>81</v>
      </c>
      <c r="G6" t="s">
        <v>83</v>
      </c>
      <c r="I6">
        <v>2</v>
      </c>
      <c r="J6" t="s">
        <v>81</v>
      </c>
      <c r="K6" t="s">
        <v>83</v>
      </c>
      <c r="L6" t="s">
        <v>92</v>
      </c>
      <c r="M6">
        <v>2</v>
      </c>
      <c r="N6" t="s">
        <v>81</v>
      </c>
      <c r="O6" t="s">
        <v>83</v>
      </c>
      <c r="Q6">
        <v>2</v>
      </c>
      <c r="R6" t="s">
        <v>81</v>
      </c>
      <c r="S6" t="s">
        <v>83</v>
      </c>
      <c r="U6">
        <v>2</v>
      </c>
      <c r="V6" t="s">
        <v>81</v>
      </c>
      <c r="W6" t="s">
        <v>84</v>
      </c>
      <c r="Z6">
        <v>1</v>
      </c>
      <c r="AA6" t="s">
        <v>91</v>
      </c>
      <c r="AB6" t="s">
        <v>114</v>
      </c>
      <c r="AD6">
        <v>1</v>
      </c>
      <c r="AE6" t="s">
        <v>81</v>
      </c>
      <c r="AF6" t="s">
        <v>83</v>
      </c>
      <c r="AH6">
        <v>1</v>
      </c>
      <c r="AI6" t="s">
        <v>91</v>
      </c>
      <c r="AJ6" t="s">
        <v>83</v>
      </c>
      <c r="AK6" t="s">
        <v>92</v>
      </c>
      <c r="AL6">
        <v>1</v>
      </c>
      <c r="AM6" t="s">
        <v>81</v>
      </c>
      <c r="AN6" t="s">
        <v>83</v>
      </c>
      <c r="AP6">
        <v>1</v>
      </c>
      <c r="AQ6" t="s">
        <v>91</v>
      </c>
      <c r="AR6" t="s">
        <v>83</v>
      </c>
      <c r="AT6">
        <v>1</v>
      </c>
      <c r="AU6" t="s">
        <v>91</v>
      </c>
      <c r="AV6" t="s">
        <v>84</v>
      </c>
      <c r="AX6">
        <v>1</v>
      </c>
      <c r="AY6" t="s">
        <v>81</v>
      </c>
      <c r="AZ6" t="s">
        <v>114</v>
      </c>
      <c r="BB6">
        <v>1</v>
      </c>
      <c r="BC6" t="s">
        <v>81</v>
      </c>
      <c r="BD6" t="s">
        <v>83</v>
      </c>
      <c r="BF6">
        <v>1</v>
      </c>
      <c r="BG6" t="s">
        <v>91</v>
      </c>
      <c r="BH6" t="s">
        <v>83</v>
      </c>
      <c r="BI6" t="s">
        <v>92</v>
      </c>
      <c r="BJ6">
        <v>1</v>
      </c>
      <c r="BK6" t="s">
        <v>91</v>
      </c>
      <c r="BL6" t="s">
        <v>83</v>
      </c>
      <c r="BN6">
        <v>1</v>
      </c>
      <c r="BO6" t="s">
        <v>81</v>
      </c>
      <c r="BP6" t="s">
        <v>83</v>
      </c>
      <c r="BR6">
        <v>1</v>
      </c>
      <c r="BS6" t="s">
        <v>91</v>
      </c>
      <c r="BT6" t="s">
        <v>84</v>
      </c>
    </row>
    <row r="7" spans="1:72" x14ac:dyDescent="0.25">
      <c r="A7">
        <v>3</v>
      </c>
      <c r="B7" t="s">
        <v>81</v>
      </c>
      <c r="C7" t="s">
        <v>117</v>
      </c>
      <c r="E7">
        <v>3</v>
      </c>
      <c r="F7" t="s">
        <v>81</v>
      </c>
      <c r="G7" t="s">
        <v>84</v>
      </c>
      <c r="I7">
        <v>3</v>
      </c>
      <c r="J7" t="s">
        <v>81</v>
      </c>
      <c r="K7" t="s">
        <v>84</v>
      </c>
      <c r="L7" t="s">
        <v>92</v>
      </c>
      <c r="M7">
        <v>3</v>
      </c>
      <c r="N7" t="s">
        <v>81</v>
      </c>
      <c r="O7" t="s">
        <v>84</v>
      </c>
      <c r="Q7">
        <v>3</v>
      </c>
      <c r="R7" t="s">
        <v>81</v>
      </c>
      <c r="S7" t="s">
        <v>84</v>
      </c>
      <c r="U7">
        <v>3</v>
      </c>
      <c r="V7" t="s">
        <v>81</v>
      </c>
      <c r="W7" t="s">
        <v>184</v>
      </c>
      <c r="Z7">
        <v>2</v>
      </c>
      <c r="AA7" t="s">
        <v>81</v>
      </c>
      <c r="AB7" t="s">
        <v>117</v>
      </c>
      <c r="AD7">
        <v>2</v>
      </c>
      <c r="AE7" t="s">
        <v>91</v>
      </c>
      <c r="AF7" t="s">
        <v>84</v>
      </c>
      <c r="AH7">
        <v>2</v>
      </c>
      <c r="AI7" t="s">
        <v>81</v>
      </c>
      <c r="AJ7" t="s">
        <v>84</v>
      </c>
      <c r="AK7" t="s">
        <v>92</v>
      </c>
      <c r="AL7">
        <v>2</v>
      </c>
      <c r="AM7" t="s">
        <v>91</v>
      </c>
      <c r="AN7" t="s">
        <v>84</v>
      </c>
      <c r="AP7">
        <v>2</v>
      </c>
      <c r="AQ7" t="s">
        <v>81</v>
      </c>
      <c r="AR7" t="s">
        <v>84</v>
      </c>
      <c r="AT7">
        <v>2</v>
      </c>
      <c r="AU7" t="s">
        <v>81</v>
      </c>
      <c r="AV7" t="s">
        <v>184</v>
      </c>
      <c r="AX7">
        <v>2</v>
      </c>
      <c r="AY7" t="s">
        <v>91</v>
      </c>
      <c r="AZ7" t="s">
        <v>117</v>
      </c>
      <c r="BB7">
        <v>2</v>
      </c>
      <c r="BC7" t="s">
        <v>91</v>
      </c>
      <c r="BD7" t="s">
        <v>84</v>
      </c>
      <c r="BF7">
        <v>1</v>
      </c>
      <c r="BG7" t="s">
        <v>91</v>
      </c>
      <c r="BH7" t="s">
        <v>84</v>
      </c>
      <c r="BI7" t="s">
        <v>92</v>
      </c>
      <c r="BJ7">
        <v>1</v>
      </c>
      <c r="BK7" t="s">
        <v>81</v>
      </c>
      <c r="BL7" t="s">
        <v>84</v>
      </c>
      <c r="BN7">
        <v>1</v>
      </c>
      <c r="BO7" t="s">
        <v>91</v>
      </c>
      <c r="BP7" t="s">
        <v>84</v>
      </c>
      <c r="BR7">
        <v>1</v>
      </c>
      <c r="BS7" t="s">
        <v>81</v>
      </c>
      <c r="BT7" t="s">
        <v>184</v>
      </c>
    </row>
    <row r="8" spans="1:72" x14ac:dyDescent="0.25">
      <c r="A8">
        <v>4</v>
      </c>
      <c r="B8" t="s">
        <v>81</v>
      </c>
      <c r="C8" t="s">
        <v>115</v>
      </c>
      <c r="E8">
        <v>4</v>
      </c>
      <c r="F8" t="s">
        <v>81</v>
      </c>
      <c r="G8" t="s">
        <v>85</v>
      </c>
      <c r="I8">
        <v>4</v>
      </c>
      <c r="J8" t="s">
        <v>81</v>
      </c>
      <c r="K8" t="s">
        <v>85</v>
      </c>
      <c r="L8" t="s">
        <v>92</v>
      </c>
      <c r="M8">
        <v>4</v>
      </c>
      <c r="N8" t="s">
        <v>81</v>
      </c>
      <c r="O8" t="s">
        <v>85</v>
      </c>
      <c r="Q8">
        <v>4</v>
      </c>
      <c r="R8" t="s">
        <v>81</v>
      </c>
      <c r="S8" t="s">
        <v>85</v>
      </c>
      <c r="U8">
        <v>4</v>
      </c>
      <c r="V8" t="s">
        <v>81</v>
      </c>
      <c r="W8" t="s">
        <v>89</v>
      </c>
      <c r="Z8">
        <v>2</v>
      </c>
      <c r="AA8" t="s">
        <v>91</v>
      </c>
      <c r="AB8" t="s">
        <v>115</v>
      </c>
      <c r="AD8">
        <v>2</v>
      </c>
      <c r="AE8" t="s">
        <v>81</v>
      </c>
      <c r="AF8" t="s">
        <v>85</v>
      </c>
      <c r="AH8">
        <v>2</v>
      </c>
      <c r="AI8" t="s">
        <v>91</v>
      </c>
      <c r="AJ8" t="s">
        <v>85</v>
      </c>
      <c r="AK8" t="s">
        <v>92</v>
      </c>
      <c r="AL8">
        <v>2</v>
      </c>
      <c r="AM8" t="s">
        <v>81</v>
      </c>
      <c r="AN8" t="s">
        <v>85</v>
      </c>
      <c r="AP8">
        <v>2</v>
      </c>
      <c r="AQ8" t="s">
        <v>91</v>
      </c>
      <c r="AR8" t="s">
        <v>85</v>
      </c>
      <c r="AT8">
        <v>3</v>
      </c>
      <c r="AU8" t="s">
        <v>81</v>
      </c>
      <c r="AV8" t="s">
        <v>89</v>
      </c>
      <c r="AX8">
        <v>2</v>
      </c>
      <c r="AY8" t="s">
        <v>91</v>
      </c>
      <c r="AZ8" t="s">
        <v>115</v>
      </c>
      <c r="BB8">
        <v>2</v>
      </c>
      <c r="BC8" t="s">
        <v>91</v>
      </c>
      <c r="BD8" t="s">
        <v>85</v>
      </c>
      <c r="BF8">
        <v>2</v>
      </c>
      <c r="BG8" t="s">
        <v>81</v>
      </c>
      <c r="BH8" t="s">
        <v>85</v>
      </c>
      <c r="BI8" t="s">
        <v>92</v>
      </c>
      <c r="BJ8">
        <v>2</v>
      </c>
      <c r="BK8" t="s">
        <v>91</v>
      </c>
      <c r="BL8" t="s">
        <v>85</v>
      </c>
      <c r="BN8">
        <v>2</v>
      </c>
      <c r="BO8" t="s">
        <v>91</v>
      </c>
      <c r="BP8" t="s">
        <v>85</v>
      </c>
      <c r="BR8">
        <v>2</v>
      </c>
      <c r="BS8" t="s">
        <v>81</v>
      </c>
      <c r="BT8" t="s">
        <v>89</v>
      </c>
    </row>
    <row r="9" spans="1:72" x14ac:dyDescent="0.25">
      <c r="A9">
        <v>5</v>
      </c>
      <c r="B9" t="s">
        <v>81</v>
      </c>
      <c r="C9" t="s">
        <v>184</v>
      </c>
      <c r="E9">
        <v>5</v>
      </c>
      <c r="F9" t="s">
        <v>81</v>
      </c>
      <c r="G9" t="s">
        <v>86</v>
      </c>
      <c r="I9">
        <v>5</v>
      </c>
      <c r="J9" t="s">
        <v>81</v>
      </c>
      <c r="K9" t="s">
        <v>86</v>
      </c>
      <c r="L9" t="s">
        <v>92</v>
      </c>
      <c r="M9">
        <v>5</v>
      </c>
      <c r="N9" t="s">
        <v>81</v>
      </c>
      <c r="O9" t="s">
        <v>86</v>
      </c>
      <c r="Q9">
        <v>5</v>
      </c>
      <c r="R9" t="s">
        <v>81</v>
      </c>
      <c r="S9" t="s">
        <v>184</v>
      </c>
      <c r="U9">
        <v>5</v>
      </c>
      <c r="V9" t="s">
        <v>87</v>
      </c>
      <c r="W9" t="s">
        <v>90</v>
      </c>
      <c r="Z9">
        <v>3</v>
      </c>
      <c r="AA9" t="s">
        <v>81</v>
      </c>
      <c r="AB9" t="s">
        <v>184</v>
      </c>
      <c r="AD9">
        <v>3</v>
      </c>
      <c r="AE9" t="s">
        <v>91</v>
      </c>
      <c r="AF9" t="s">
        <v>86</v>
      </c>
      <c r="AH9">
        <v>3</v>
      </c>
      <c r="AI9" t="s">
        <v>81</v>
      </c>
      <c r="AJ9" t="s">
        <v>86</v>
      </c>
      <c r="AK9" t="s">
        <v>92</v>
      </c>
      <c r="AL9">
        <v>3</v>
      </c>
      <c r="AM9" t="s">
        <v>91</v>
      </c>
      <c r="AN9" t="s">
        <v>86</v>
      </c>
      <c r="AP9">
        <v>3</v>
      </c>
      <c r="AQ9" t="s">
        <v>81</v>
      </c>
      <c r="AR9" t="s">
        <v>184</v>
      </c>
      <c r="AT9">
        <v>4</v>
      </c>
      <c r="AU9" t="s">
        <v>87</v>
      </c>
      <c r="AV9" t="s">
        <v>90</v>
      </c>
      <c r="AX9">
        <v>2</v>
      </c>
      <c r="AY9" t="s">
        <v>81</v>
      </c>
      <c r="AZ9" t="s">
        <v>184</v>
      </c>
      <c r="BB9">
        <v>2</v>
      </c>
      <c r="BC9" t="s">
        <v>81</v>
      </c>
      <c r="BD9" t="s">
        <v>86</v>
      </c>
      <c r="BF9">
        <v>2</v>
      </c>
      <c r="BG9" t="s">
        <v>91</v>
      </c>
      <c r="BH9" t="s">
        <v>86</v>
      </c>
      <c r="BI9" t="s">
        <v>92</v>
      </c>
      <c r="BJ9">
        <v>2</v>
      </c>
      <c r="BK9" t="s">
        <v>91</v>
      </c>
      <c r="BL9" t="s">
        <v>86</v>
      </c>
      <c r="BN9">
        <v>2</v>
      </c>
      <c r="BO9" t="s">
        <v>81</v>
      </c>
      <c r="BP9" t="s">
        <v>184</v>
      </c>
      <c r="BR9">
        <v>3</v>
      </c>
      <c r="BS9" t="s">
        <v>87</v>
      </c>
      <c r="BT9" t="s">
        <v>90</v>
      </c>
    </row>
    <row r="10" spans="1:72" x14ac:dyDescent="0.25">
      <c r="A10">
        <v>6</v>
      </c>
      <c r="B10" t="s">
        <v>81</v>
      </c>
      <c r="C10" t="s">
        <v>89</v>
      </c>
      <c r="E10">
        <v>6</v>
      </c>
      <c r="F10" t="s">
        <v>81</v>
      </c>
      <c r="G10" t="s">
        <v>88</v>
      </c>
      <c r="I10">
        <v>6</v>
      </c>
      <c r="J10" t="s">
        <v>81</v>
      </c>
      <c r="K10" t="s">
        <v>88</v>
      </c>
      <c r="L10" t="s">
        <v>92</v>
      </c>
      <c r="M10">
        <v>6</v>
      </c>
      <c r="N10" t="s">
        <v>81</v>
      </c>
      <c r="O10" t="s">
        <v>184</v>
      </c>
      <c r="Q10">
        <v>6</v>
      </c>
      <c r="R10" t="s">
        <v>81</v>
      </c>
      <c r="S10" t="s">
        <v>89</v>
      </c>
      <c r="U10">
        <v>6</v>
      </c>
      <c r="V10" t="s">
        <v>81</v>
      </c>
      <c r="W10" t="s">
        <v>112</v>
      </c>
      <c r="Z10">
        <v>4</v>
      </c>
      <c r="AA10" t="s">
        <v>81</v>
      </c>
      <c r="AB10" t="s">
        <v>89</v>
      </c>
      <c r="AD10">
        <v>3</v>
      </c>
      <c r="AE10" t="s">
        <v>81</v>
      </c>
      <c r="AF10" t="s">
        <v>88</v>
      </c>
      <c r="AH10">
        <v>3</v>
      </c>
      <c r="AI10" t="s">
        <v>91</v>
      </c>
      <c r="AJ10" t="s">
        <v>88</v>
      </c>
      <c r="AK10" t="s">
        <v>92</v>
      </c>
      <c r="AL10">
        <v>3</v>
      </c>
      <c r="AM10" t="s">
        <v>81</v>
      </c>
      <c r="AN10" t="s">
        <v>184</v>
      </c>
      <c r="AP10">
        <v>4</v>
      </c>
      <c r="AQ10" t="s">
        <v>81</v>
      </c>
      <c r="AR10" t="s">
        <v>89</v>
      </c>
      <c r="AT10">
        <v>5</v>
      </c>
      <c r="AU10" t="s">
        <v>81</v>
      </c>
      <c r="AV10" t="s">
        <v>112</v>
      </c>
      <c r="AX10">
        <v>3</v>
      </c>
      <c r="AY10" t="s">
        <v>81</v>
      </c>
      <c r="AZ10" t="s">
        <v>89</v>
      </c>
      <c r="BB10">
        <v>3</v>
      </c>
      <c r="BC10" t="s">
        <v>91</v>
      </c>
      <c r="BD10" t="s">
        <v>88</v>
      </c>
      <c r="BF10">
        <v>2</v>
      </c>
      <c r="BG10" t="s">
        <v>91</v>
      </c>
      <c r="BH10" t="s">
        <v>88</v>
      </c>
      <c r="BI10" t="s">
        <v>92</v>
      </c>
      <c r="BJ10">
        <v>2</v>
      </c>
      <c r="BK10" t="s">
        <v>81</v>
      </c>
      <c r="BL10" t="s">
        <v>184</v>
      </c>
      <c r="BN10">
        <v>3</v>
      </c>
      <c r="BO10" t="s">
        <v>81</v>
      </c>
      <c r="BP10" t="s">
        <v>89</v>
      </c>
      <c r="BR10">
        <v>4</v>
      </c>
      <c r="BS10" t="s">
        <v>81</v>
      </c>
      <c r="BT10" t="s">
        <v>112</v>
      </c>
    </row>
    <row r="11" spans="1:72" x14ac:dyDescent="0.25">
      <c r="A11">
        <v>7</v>
      </c>
      <c r="B11" t="s">
        <v>87</v>
      </c>
      <c r="C11" t="s">
        <v>90</v>
      </c>
      <c r="E11">
        <v>7</v>
      </c>
      <c r="F11" t="s">
        <v>81</v>
      </c>
      <c r="G11" t="s">
        <v>130</v>
      </c>
      <c r="I11">
        <v>7</v>
      </c>
      <c r="J11" t="s">
        <v>81</v>
      </c>
      <c r="K11" t="s">
        <v>184</v>
      </c>
      <c r="L11" t="s">
        <v>92</v>
      </c>
      <c r="M11">
        <v>7</v>
      </c>
      <c r="N11" t="s">
        <v>81</v>
      </c>
      <c r="O11" t="s">
        <v>89</v>
      </c>
      <c r="Q11">
        <v>7</v>
      </c>
      <c r="R11" t="s">
        <v>87</v>
      </c>
      <c r="S11" t="s">
        <v>90</v>
      </c>
      <c r="Z11">
        <v>5</v>
      </c>
      <c r="AA11" t="s">
        <v>87</v>
      </c>
      <c r="AB11" t="s">
        <v>90</v>
      </c>
      <c r="AD11">
        <v>4</v>
      </c>
      <c r="AE11" t="s">
        <v>91</v>
      </c>
      <c r="AF11" t="s">
        <v>131</v>
      </c>
      <c r="AH11">
        <v>4</v>
      </c>
      <c r="AI11" t="s">
        <v>81</v>
      </c>
      <c r="AJ11" t="s">
        <v>184</v>
      </c>
      <c r="AK11" t="s">
        <v>92</v>
      </c>
      <c r="AL11">
        <v>4</v>
      </c>
      <c r="AM11" t="s">
        <v>81</v>
      </c>
      <c r="AN11" t="s">
        <v>89</v>
      </c>
      <c r="AP11">
        <v>5</v>
      </c>
      <c r="AQ11" t="s">
        <v>87</v>
      </c>
      <c r="AR11" t="s">
        <v>90</v>
      </c>
      <c r="AX11">
        <v>4</v>
      </c>
      <c r="AY11" t="s">
        <v>87</v>
      </c>
      <c r="AZ11" t="s">
        <v>90</v>
      </c>
      <c r="BB11">
        <v>3</v>
      </c>
      <c r="BC11" t="s">
        <v>91</v>
      </c>
      <c r="BD11" t="s">
        <v>132</v>
      </c>
      <c r="BF11">
        <v>3</v>
      </c>
      <c r="BG11" t="s">
        <v>81</v>
      </c>
      <c r="BH11" t="s">
        <v>184</v>
      </c>
      <c r="BI11" t="s">
        <v>92</v>
      </c>
      <c r="BJ11">
        <v>3</v>
      </c>
      <c r="BK11" t="s">
        <v>81</v>
      </c>
      <c r="BL11" t="s">
        <v>89</v>
      </c>
      <c r="BN11">
        <v>4</v>
      </c>
      <c r="BO11" t="s">
        <v>87</v>
      </c>
      <c r="BP11" t="s">
        <v>90</v>
      </c>
    </row>
    <row r="12" spans="1:72" x14ac:dyDescent="0.25">
      <c r="A12">
        <v>8</v>
      </c>
      <c r="B12" t="s">
        <v>81</v>
      </c>
      <c r="C12" t="s">
        <v>112</v>
      </c>
      <c r="E12">
        <v>8</v>
      </c>
      <c r="F12" t="s">
        <v>81</v>
      </c>
      <c r="G12" t="s">
        <v>184</v>
      </c>
      <c r="I12">
        <v>8</v>
      </c>
      <c r="J12" t="s">
        <v>81</v>
      </c>
      <c r="K12" t="s">
        <v>89</v>
      </c>
      <c r="L12" t="s">
        <v>92</v>
      </c>
      <c r="M12">
        <v>8</v>
      </c>
      <c r="N12" t="s">
        <v>87</v>
      </c>
      <c r="O12" t="s">
        <v>90</v>
      </c>
      <c r="Q12">
        <v>8</v>
      </c>
      <c r="R12" t="s">
        <v>81</v>
      </c>
      <c r="S12" t="s">
        <v>112</v>
      </c>
      <c r="Z12">
        <v>6</v>
      </c>
      <c r="AA12" t="s">
        <v>81</v>
      </c>
      <c r="AB12" t="s">
        <v>112</v>
      </c>
      <c r="AD12">
        <v>4</v>
      </c>
      <c r="AE12" t="s">
        <v>81</v>
      </c>
      <c r="AF12" t="s">
        <v>184</v>
      </c>
      <c r="AH12">
        <v>5</v>
      </c>
      <c r="AI12" t="s">
        <v>81</v>
      </c>
      <c r="AJ12" t="s">
        <v>89</v>
      </c>
      <c r="AK12" t="s">
        <v>92</v>
      </c>
      <c r="AL12">
        <v>5</v>
      </c>
      <c r="AM12" t="s">
        <v>87</v>
      </c>
      <c r="AN12" t="s">
        <v>90</v>
      </c>
      <c r="AP12">
        <v>6</v>
      </c>
      <c r="AQ12" t="s">
        <v>81</v>
      </c>
      <c r="AR12" t="s">
        <v>112</v>
      </c>
      <c r="AX12">
        <v>5</v>
      </c>
      <c r="AY12" t="s">
        <v>81</v>
      </c>
      <c r="AZ12" t="s">
        <v>112</v>
      </c>
      <c r="BB12">
        <v>3</v>
      </c>
      <c r="BC12" t="s">
        <v>81</v>
      </c>
      <c r="BD12" t="s">
        <v>184</v>
      </c>
      <c r="BF12">
        <v>4</v>
      </c>
      <c r="BG12" t="s">
        <v>81</v>
      </c>
      <c r="BH12" t="s">
        <v>89</v>
      </c>
      <c r="BI12" t="s">
        <v>92</v>
      </c>
      <c r="BJ12">
        <v>4</v>
      </c>
      <c r="BK12" t="s">
        <v>87</v>
      </c>
      <c r="BL12" t="s">
        <v>90</v>
      </c>
      <c r="BN12">
        <v>5</v>
      </c>
      <c r="BO12" t="s">
        <v>81</v>
      </c>
      <c r="BP12" t="s">
        <v>112</v>
      </c>
    </row>
    <row r="13" spans="1:72" x14ac:dyDescent="0.25">
      <c r="E13">
        <v>9</v>
      </c>
      <c r="F13" t="s">
        <v>81</v>
      </c>
      <c r="G13" t="s">
        <v>89</v>
      </c>
      <c r="I13">
        <v>9</v>
      </c>
      <c r="J13" t="s">
        <v>87</v>
      </c>
      <c r="K13" t="s">
        <v>90</v>
      </c>
      <c r="L13" t="s">
        <v>92</v>
      </c>
      <c r="M13">
        <v>9</v>
      </c>
      <c r="N13" t="s">
        <v>81</v>
      </c>
      <c r="O13" t="s">
        <v>112</v>
      </c>
      <c r="AD13">
        <v>5</v>
      </c>
      <c r="AE13" t="s">
        <v>81</v>
      </c>
      <c r="AF13" t="s">
        <v>89</v>
      </c>
      <c r="AH13">
        <v>6</v>
      </c>
      <c r="AI13" t="s">
        <v>87</v>
      </c>
      <c r="AJ13" t="s">
        <v>90</v>
      </c>
      <c r="AK13" t="s">
        <v>92</v>
      </c>
      <c r="AL13">
        <v>6</v>
      </c>
      <c r="AM13" t="s">
        <v>81</v>
      </c>
      <c r="AN13" t="s">
        <v>112</v>
      </c>
      <c r="BB13">
        <v>4</v>
      </c>
      <c r="BC13" t="s">
        <v>81</v>
      </c>
      <c r="BD13" t="s">
        <v>89</v>
      </c>
      <c r="BF13">
        <v>5</v>
      </c>
      <c r="BG13" t="s">
        <v>87</v>
      </c>
      <c r="BH13" t="s">
        <v>90</v>
      </c>
      <c r="BI13" t="s">
        <v>92</v>
      </c>
      <c r="BJ13">
        <v>5</v>
      </c>
      <c r="BK13" t="s">
        <v>81</v>
      </c>
      <c r="BL13" t="s">
        <v>112</v>
      </c>
    </row>
    <row r="14" spans="1:72" x14ac:dyDescent="0.25">
      <c r="E14">
        <v>10</v>
      </c>
      <c r="F14" t="s">
        <v>87</v>
      </c>
      <c r="G14" t="s">
        <v>90</v>
      </c>
      <c r="I14">
        <v>10</v>
      </c>
      <c r="J14" t="s">
        <v>81</v>
      </c>
      <c r="K14" t="s">
        <v>112</v>
      </c>
      <c r="AD14">
        <v>6</v>
      </c>
      <c r="AE14" t="s">
        <v>87</v>
      </c>
      <c r="AF14" t="s">
        <v>90</v>
      </c>
      <c r="AH14">
        <v>7</v>
      </c>
      <c r="AI14" t="s">
        <v>81</v>
      </c>
      <c r="AJ14" t="s">
        <v>112</v>
      </c>
      <c r="BB14">
        <v>5</v>
      </c>
      <c r="BC14" t="s">
        <v>87</v>
      </c>
      <c r="BD14" t="s">
        <v>90</v>
      </c>
      <c r="BF14">
        <v>6</v>
      </c>
      <c r="BG14" t="s">
        <v>81</v>
      </c>
      <c r="BH14" t="s">
        <v>112</v>
      </c>
    </row>
    <row r="15" spans="1:72" x14ac:dyDescent="0.25">
      <c r="E15">
        <v>11</v>
      </c>
      <c r="F15" t="s">
        <v>81</v>
      </c>
      <c r="G15" t="s">
        <v>112</v>
      </c>
      <c r="AD15">
        <v>7</v>
      </c>
      <c r="AE15" t="s">
        <v>81</v>
      </c>
      <c r="AF15" t="s">
        <v>112</v>
      </c>
      <c r="BB15">
        <v>6</v>
      </c>
      <c r="BC15" t="s">
        <v>81</v>
      </c>
      <c r="BD15" t="s">
        <v>112</v>
      </c>
    </row>
    <row r="16" spans="1:72" x14ac:dyDescent="0.25">
      <c r="A16" t="s">
        <v>92</v>
      </c>
      <c r="B16" t="s">
        <v>92</v>
      </c>
      <c r="C16" t="s">
        <v>92</v>
      </c>
      <c r="E16" t="s">
        <v>92</v>
      </c>
      <c r="I16" t="s">
        <v>92</v>
      </c>
      <c r="J16" t="s">
        <v>92</v>
      </c>
      <c r="K16" t="s">
        <v>92</v>
      </c>
      <c r="M16" t="s">
        <v>92</v>
      </c>
      <c r="N16" t="s">
        <v>92</v>
      </c>
      <c r="O16" t="s">
        <v>92</v>
      </c>
      <c r="Q16" t="s">
        <v>92</v>
      </c>
      <c r="R16" t="s">
        <v>92</v>
      </c>
      <c r="S16" t="s">
        <v>92</v>
      </c>
      <c r="U16" t="s">
        <v>92</v>
      </c>
      <c r="V16" t="s">
        <v>92</v>
      </c>
      <c r="W16" t="s">
        <v>92</v>
      </c>
      <c r="Z16" t="s">
        <v>92</v>
      </c>
      <c r="AA16" t="s">
        <v>92</v>
      </c>
      <c r="AB16" t="s">
        <v>92</v>
      </c>
      <c r="AD16" t="s">
        <v>92</v>
      </c>
      <c r="AH16" t="s">
        <v>92</v>
      </c>
      <c r="AI16" t="s">
        <v>92</v>
      </c>
      <c r="AJ16" t="s">
        <v>92</v>
      </c>
      <c r="AL16" t="s">
        <v>92</v>
      </c>
      <c r="AM16" t="s">
        <v>92</v>
      </c>
      <c r="AN16" t="s">
        <v>92</v>
      </c>
      <c r="AP16" t="s">
        <v>92</v>
      </c>
      <c r="AQ16" t="s">
        <v>92</v>
      </c>
      <c r="AR16" t="s">
        <v>92</v>
      </c>
      <c r="AT16" t="s">
        <v>92</v>
      </c>
      <c r="AU16" t="s">
        <v>92</v>
      </c>
      <c r="AV16" t="s">
        <v>92</v>
      </c>
      <c r="AX16" t="s">
        <v>92</v>
      </c>
      <c r="AY16" t="s">
        <v>92</v>
      </c>
      <c r="AZ16" t="s">
        <v>92</v>
      </c>
      <c r="BB16" t="s">
        <v>92</v>
      </c>
      <c r="BF16" t="s">
        <v>92</v>
      </c>
      <c r="BG16" t="s">
        <v>92</v>
      </c>
      <c r="BH16" t="s">
        <v>92</v>
      </c>
      <c r="BJ16" t="s">
        <v>92</v>
      </c>
      <c r="BK16" t="s">
        <v>92</v>
      </c>
      <c r="BL16" t="s">
        <v>92</v>
      </c>
      <c r="BN16" t="s">
        <v>92</v>
      </c>
      <c r="BO16" t="s">
        <v>92</v>
      </c>
      <c r="BP16" t="s">
        <v>92</v>
      </c>
      <c r="BR16" t="s">
        <v>92</v>
      </c>
      <c r="BS16" t="s">
        <v>92</v>
      </c>
      <c r="BT16" t="s">
        <v>92</v>
      </c>
    </row>
    <row r="17" spans="1:72" x14ac:dyDescent="0.25">
      <c r="A17" t="s">
        <v>116</v>
      </c>
      <c r="B17" t="s">
        <v>6</v>
      </c>
      <c r="E17" t="s">
        <v>116</v>
      </c>
      <c r="F17" t="s">
        <v>6</v>
      </c>
      <c r="I17" t="s">
        <v>116</v>
      </c>
      <c r="J17" t="s">
        <v>6</v>
      </c>
      <c r="M17" t="s">
        <v>116</v>
      </c>
      <c r="N17" t="s">
        <v>6</v>
      </c>
      <c r="Q17" t="s">
        <v>116</v>
      </c>
      <c r="R17" t="s">
        <v>6</v>
      </c>
      <c r="U17" t="s">
        <v>116</v>
      </c>
      <c r="V17" t="s">
        <v>6</v>
      </c>
      <c r="Z17" t="s">
        <v>116</v>
      </c>
      <c r="AA17" t="s">
        <v>6</v>
      </c>
      <c r="AD17" t="s">
        <v>116</v>
      </c>
      <c r="AE17" t="s">
        <v>6</v>
      </c>
      <c r="AH17" t="s">
        <v>116</v>
      </c>
      <c r="AI17" t="s">
        <v>6</v>
      </c>
      <c r="AL17" t="s">
        <v>116</v>
      </c>
      <c r="AM17" t="s">
        <v>6</v>
      </c>
      <c r="AP17" t="s">
        <v>116</v>
      </c>
      <c r="AQ17" t="s">
        <v>6</v>
      </c>
      <c r="AT17" t="s">
        <v>116</v>
      </c>
      <c r="AU17" t="s">
        <v>6</v>
      </c>
      <c r="AX17" t="s">
        <v>116</v>
      </c>
      <c r="AY17" t="s">
        <v>6</v>
      </c>
      <c r="BB17" t="s">
        <v>116</v>
      </c>
      <c r="BC17" t="s">
        <v>6</v>
      </c>
      <c r="BF17" t="s">
        <v>116</v>
      </c>
      <c r="BG17" t="s">
        <v>6</v>
      </c>
      <c r="BJ17" t="s">
        <v>116</v>
      </c>
      <c r="BK17" t="s">
        <v>6</v>
      </c>
      <c r="BN17" t="s">
        <v>116</v>
      </c>
      <c r="BO17" t="s">
        <v>6</v>
      </c>
      <c r="BR17" t="s">
        <v>116</v>
      </c>
      <c r="BS17" t="s">
        <v>6</v>
      </c>
    </row>
    <row r="18" spans="1:72" x14ac:dyDescent="0.25">
      <c r="A18">
        <v>3</v>
      </c>
      <c r="B18">
        <v>8</v>
      </c>
      <c r="C18" t="s">
        <v>92</v>
      </c>
      <c r="E18">
        <v>3</v>
      </c>
      <c r="F18">
        <v>11</v>
      </c>
      <c r="G18" t="s">
        <v>92</v>
      </c>
      <c r="I18">
        <v>3</v>
      </c>
      <c r="J18">
        <v>10</v>
      </c>
      <c r="K18" t="s">
        <v>92</v>
      </c>
      <c r="M18">
        <v>3</v>
      </c>
      <c r="N18">
        <v>9</v>
      </c>
      <c r="O18" t="s">
        <v>92</v>
      </c>
      <c r="Q18">
        <v>3</v>
      </c>
      <c r="R18">
        <v>8</v>
      </c>
      <c r="S18" t="s">
        <v>92</v>
      </c>
      <c r="U18">
        <v>3</v>
      </c>
      <c r="V18">
        <v>6</v>
      </c>
      <c r="W18" t="s">
        <v>92</v>
      </c>
      <c r="Z18">
        <v>3</v>
      </c>
      <c r="AA18">
        <v>6</v>
      </c>
      <c r="AB18" t="s">
        <v>92</v>
      </c>
      <c r="AD18">
        <v>3</v>
      </c>
      <c r="AE18">
        <v>7</v>
      </c>
      <c r="AF18" t="s">
        <v>92</v>
      </c>
      <c r="AH18">
        <v>3</v>
      </c>
      <c r="AI18">
        <v>7</v>
      </c>
      <c r="AJ18" t="s">
        <v>92</v>
      </c>
      <c r="AL18">
        <v>3</v>
      </c>
      <c r="AM18">
        <v>6</v>
      </c>
      <c r="AN18" t="s">
        <v>92</v>
      </c>
      <c r="AP18">
        <v>3</v>
      </c>
      <c r="AQ18">
        <v>6</v>
      </c>
      <c r="AR18" t="s">
        <v>92</v>
      </c>
      <c r="AT18">
        <v>3</v>
      </c>
      <c r="AU18">
        <v>5</v>
      </c>
      <c r="AV18" t="s">
        <v>92</v>
      </c>
      <c r="AX18">
        <v>3</v>
      </c>
      <c r="AY18">
        <v>5</v>
      </c>
      <c r="AZ18" t="s">
        <v>92</v>
      </c>
      <c r="BB18">
        <v>3</v>
      </c>
      <c r="BC18">
        <v>6</v>
      </c>
      <c r="BD18" t="s">
        <v>92</v>
      </c>
      <c r="BF18">
        <v>3</v>
      </c>
      <c r="BG18">
        <v>6</v>
      </c>
      <c r="BH18" t="s">
        <v>92</v>
      </c>
      <c r="BJ18">
        <v>3</v>
      </c>
      <c r="BK18">
        <v>5</v>
      </c>
      <c r="BL18" t="s">
        <v>92</v>
      </c>
      <c r="BN18">
        <v>3</v>
      </c>
      <c r="BO18">
        <v>5</v>
      </c>
      <c r="BP18" t="s">
        <v>92</v>
      </c>
      <c r="BR18">
        <v>3</v>
      </c>
      <c r="BS18">
        <v>4</v>
      </c>
      <c r="BT18" t="s">
        <v>92</v>
      </c>
    </row>
    <row r="19" spans="1:72" x14ac:dyDescent="0.25">
      <c r="A19">
        <v>2</v>
      </c>
      <c r="B19">
        <v>7</v>
      </c>
      <c r="C19" t="s">
        <v>92</v>
      </c>
      <c r="E19">
        <v>2</v>
      </c>
      <c r="F19">
        <v>10</v>
      </c>
      <c r="G19" t="s">
        <v>92</v>
      </c>
      <c r="I19">
        <v>2</v>
      </c>
      <c r="J19">
        <v>9</v>
      </c>
      <c r="K19" t="s">
        <v>92</v>
      </c>
      <c r="M19">
        <v>2</v>
      </c>
      <c r="N19">
        <v>8</v>
      </c>
      <c r="O19" t="s">
        <v>92</v>
      </c>
      <c r="Q19">
        <v>2</v>
      </c>
      <c r="R19">
        <v>7</v>
      </c>
      <c r="S19" t="s">
        <v>92</v>
      </c>
      <c r="U19">
        <v>2</v>
      </c>
      <c r="V19">
        <v>5</v>
      </c>
      <c r="W19" t="s">
        <v>92</v>
      </c>
      <c r="Z19">
        <v>2</v>
      </c>
      <c r="AA19">
        <v>5</v>
      </c>
      <c r="AB19" t="s">
        <v>92</v>
      </c>
      <c r="AD19">
        <v>2</v>
      </c>
      <c r="AE19">
        <v>6</v>
      </c>
      <c r="AF19" t="s">
        <v>92</v>
      </c>
      <c r="AH19">
        <v>2</v>
      </c>
      <c r="AI19">
        <v>6</v>
      </c>
      <c r="AJ19" t="s">
        <v>92</v>
      </c>
      <c r="AL19">
        <v>2</v>
      </c>
      <c r="AM19">
        <v>5</v>
      </c>
      <c r="AN19" t="s">
        <v>92</v>
      </c>
      <c r="AP19">
        <v>2</v>
      </c>
      <c r="AQ19">
        <v>5</v>
      </c>
      <c r="AR19" t="s">
        <v>92</v>
      </c>
      <c r="AT19">
        <v>2</v>
      </c>
      <c r="AU19">
        <v>4</v>
      </c>
      <c r="AV19" t="s">
        <v>92</v>
      </c>
      <c r="AX19">
        <v>2</v>
      </c>
      <c r="AY19">
        <v>4</v>
      </c>
      <c r="AZ19" t="s">
        <v>92</v>
      </c>
      <c r="BB19">
        <v>2</v>
      </c>
      <c r="BC19">
        <v>5</v>
      </c>
      <c r="BD19" t="s">
        <v>92</v>
      </c>
      <c r="BF19">
        <v>2</v>
      </c>
      <c r="BG19">
        <v>5</v>
      </c>
      <c r="BH19" t="s">
        <v>92</v>
      </c>
      <c r="BJ19">
        <v>2</v>
      </c>
      <c r="BK19">
        <v>4</v>
      </c>
      <c r="BL19" t="s">
        <v>92</v>
      </c>
      <c r="BN19">
        <v>2</v>
      </c>
      <c r="BO19">
        <v>4</v>
      </c>
      <c r="BP19" t="s">
        <v>92</v>
      </c>
      <c r="BR19">
        <v>2</v>
      </c>
      <c r="BS19">
        <v>3</v>
      </c>
      <c r="BT19" t="s">
        <v>92</v>
      </c>
    </row>
    <row r="20" spans="1:72" x14ac:dyDescent="0.25">
      <c r="A20">
        <v>1</v>
      </c>
      <c r="B20">
        <v>6</v>
      </c>
      <c r="C20" t="s">
        <v>92</v>
      </c>
      <c r="E20">
        <v>1</v>
      </c>
      <c r="F20">
        <v>9</v>
      </c>
      <c r="G20" t="s">
        <v>92</v>
      </c>
      <c r="I20">
        <v>1</v>
      </c>
      <c r="J20">
        <v>8</v>
      </c>
      <c r="K20" t="s">
        <v>92</v>
      </c>
      <c r="M20">
        <v>1</v>
      </c>
      <c r="N20">
        <v>7</v>
      </c>
      <c r="O20" t="s">
        <v>92</v>
      </c>
      <c r="Q20">
        <v>1</v>
      </c>
      <c r="R20">
        <v>6</v>
      </c>
      <c r="S20" t="s">
        <v>92</v>
      </c>
      <c r="U20">
        <v>1</v>
      </c>
      <c r="V20">
        <v>4</v>
      </c>
      <c r="W20" t="s">
        <v>92</v>
      </c>
      <c r="Z20">
        <v>1</v>
      </c>
      <c r="AA20">
        <v>4</v>
      </c>
      <c r="AB20" t="s">
        <v>92</v>
      </c>
      <c r="AD20">
        <v>1</v>
      </c>
      <c r="AE20">
        <v>5</v>
      </c>
      <c r="AF20" t="s">
        <v>92</v>
      </c>
      <c r="AH20">
        <v>1</v>
      </c>
      <c r="AI20">
        <v>5</v>
      </c>
      <c r="AJ20" t="s">
        <v>92</v>
      </c>
      <c r="AL20">
        <v>1</v>
      </c>
      <c r="AM20">
        <v>4</v>
      </c>
      <c r="AN20" t="s">
        <v>92</v>
      </c>
      <c r="AP20">
        <v>1</v>
      </c>
      <c r="AQ20">
        <v>4</v>
      </c>
      <c r="AR20" t="s">
        <v>92</v>
      </c>
      <c r="AT20">
        <v>1</v>
      </c>
      <c r="AU20">
        <v>3</v>
      </c>
      <c r="AV20" t="s">
        <v>92</v>
      </c>
      <c r="AX20">
        <v>1</v>
      </c>
      <c r="AY20">
        <v>3</v>
      </c>
      <c r="AZ20" t="s">
        <v>92</v>
      </c>
      <c r="BB20">
        <v>1</v>
      </c>
      <c r="BC20">
        <v>4</v>
      </c>
      <c r="BD20" t="s">
        <v>92</v>
      </c>
      <c r="BF20">
        <v>1</v>
      </c>
      <c r="BG20">
        <v>4</v>
      </c>
      <c r="BH20" t="s">
        <v>92</v>
      </c>
      <c r="BJ20">
        <v>1</v>
      </c>
      <c r="BK20">
        <v>3</v>
      </c>
      <c r="BL20" t="s">
        <v>92</v>
      </c>
      <c r="BN20">
        <v>1</v>
      </c>
      <c r="BO20">
        <v>3</v>
      </c>
      <c r="BP20" t="s">
        <v>92</v>
      </c>
      <c r="BR20">
        <v>1</v>
      </c>
      <c r="BS20">
        <v>2</v>
      </c>
      <c r="BT20" t="s">
        <v>92</v>
      </c>
    </row>
    <row r="21" spans="1:72" x14ac:dyDescent="0.25">
      <c r="E21" t="s">
        <v>92</v>
      </c>
      <c r="F21" t="s">
        <v>92</v>
      </c>
      <c r="I21" t="s">
        <v>92</v>
      </c>
      <c r="J21" t="s">
        <v>92</v>
      </c>
    </row>
    <row r="22" spans="1:72" x14ac:dyDescent="0.25">
      <c r="E22" t="s">
        <v>92</v>
      </c>
      <c r="F22" t="s">
        <v>92</v>
      </c>
      <c r="G22" t="s">
        <v>92</v>
      </c>
      <c r="I22" t="s">
        <v>92</v>
      </c>
      <c r="J22" t="s">
        <v>92</v>
      </c>
      <c r="K22" t="s">
        <v>92</v>
      </c>
    </row>
    <row r="23" spans="1:72" x14ac:dyDescent="0.25">
      <c r="E23">
        <v>9</v>
      </c>
      <c r="F23" t="s">
        <v>91</v>
      </c>
      <c r="I23">
        <v>9</v>
      </c>
      <c r="J2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3-stage model</vt:lpstr>
      <vt:lpstr>Instructions</vt:lpstr>
      <vt:lpstr>Pipeline planner</vt:lpstr>
    </vt:vector>
  </TitlesOfParts>
  <Company>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werf</dc:creator>
  <cp:lastModifiedBy>Gary Atlin</cp:lastModifiedBy>
  <cp:lastPrinted>2011-08-01T10:53:52Z</cp:lastPrinted>
  <dcterms:created xsi:type="dcterms:W3CDTF">2004-04-04T23:06:12Z</dcterms:created>
  <dcterms:modified xsi:type="dcterms:W3CDTF">2021-11-06T16:00:01Z</dcterms:modified>
</cp:coreProperties>
</file>